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name val="Helvetica"/>
      <b val="1"/>
      <color rgb="00FFFFFF"/>
      <sz val="11"/>
    </font>
    <font>
      <name val="Helvetica"/>
      <color rgb="000000FF"/>
      <sz val="10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D9D9D9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46" fillId="19" borderId="1" applyAlignment="1" pivotButton="0" quotePrefix="0" xfId="0">
      <alignment horizontal="right" vertical="center"/>
    </xf>
    <xf numFmtId="0" fontId="5" fillId="19" borderId="1" applyAlignment="1" pivotButton="0" quotePrefix="0" xfId="0">
      <alignment horizontal="right" vertical="center"/>
    </xf>
    <xf numFmtId="3" fontId="2" fillId="19" borderId="0" applyAlignment="1" pivotButton="0" quotePrefix="0" xfId="0">
      <alignment horizontal="right" vertical="center"/>
    </xf>
    <xf numFmtId="0" fontId="2" fillId="19" borderId="0" applyAlignment="1" pivotButton="0" quotePrefix="0" xfId="0">
      <alignment horizontal="right" vertical="center"/>
    </xf>
    <xf numFmtId="0" fontId="0" fillId="19" borderId="0" applyAlignment="1" pivotButton="0" quotePrefix="0" xfId="0">
      <alignment horizontal="right" vertical="center"/>
    </xf>
    <xf numFmtId="0" fontId="0" fillId="19" borderId="8" pivotButton="0" quotePrefix="0" xfId="0"/>
    <xf numFmtId="0" fontId="0" fillId="19" borderId="0" pivotButton="0" quotePrefix="0" xfId="0"/>
    <xf numFmtId="0" fontId="31" fillId="19" borderId="7" applyAlignment="1" pivotButton="0" quotePrefix="0" xfId="0">
      <alignment horizontal="right" vertical="center"/>
    </xf>
    <xf numFmtId="0" fontId="50" fillId="0" borderId="8" pivotButton="0" quotePrefix="0" xfId="0"/>
    <xf numFmtId="0" fontId="51" fillId="20" borderId="8" pivotButton="0" quotePrefix="0" xfId="0"/>
    <xf numFmtId="0" fontId="27" fillId="20" borderId="8" pivotButton="0" quotePrefix="0" xfId="0"/>
    <xf numFmtId="0" fontId="0" fillId="20" borderId="0" pivotButton="0" quotePrefix="0" xfId="0"/>
    <xf numFmtId="0" fontId="52" fillId="0" borderId="8" pivotButton="0" quotePrefix="0" xfId="0"/>
    <xf numFmtId="0" fontId="52" fillId="0" borderId="0" pivotButton="0" quotePrefix="0" xfId="0"/>
    <xf numFmtId="0" fontId="51" fillId="20" borderId="0" pivotButton="0" quotePrefix="0" xfId="0"/>
    <xf numFmtId="0" fontId="53" fillId="0" borderId="0" pivotButton="0" quotePrefix="0" xfId="0"/>
    <xf numFmtId="165" fontId="53" fillId="0" borderId="9" pivotButton="0" quotePrefix="0" xfId="0"/>
    <xf numFmtId="170" fontId="54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4" fillId="0" borderId="9" pivotButton="0" quotePrefix="0" xfId="0"/>
    <xf numFmtId="165" fontId="44" fillId="0" borderId="0" pivotButton="0" quotePrefix="0" xfId="0"/>
    <xf numFmtId="171" fontId="44" fillId="0" borderId="0" pivotButton="0" quotePrefix="0" xfId="0"/>
    <xf numFmtId="0" fontId="53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4</col>
      <colOff>346320</colOff>
      <row>0</row>
      <rowOff>692640</rowOff>
    </to>
    <pic>
      <nvPicPr>
        <cNvPr id="18" name="Image 17" descr="Picture"/>
        <cNvPicPr/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2321640" cy="6926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229</row>
      <rowOff>0</rowOff>
    </from>
    <ext cx="6096000" cy="3400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4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68" t="inlineStr">
        <is>
          <t>NVDA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69" t="inlineStr">
        <is>
          <t>Business, Returns &amp; Capital Allocation</t>
        </is>
      </c>
      <c r="B13" s="470" t="n"/>
      <c r="C13" s="470" t="n"/>
      <c r="D13" s="470" t="n"/>
      <c r="E13" s="470" t="n"/>
      <c r="F13" s="470" t="n"/>
      <c r="G13" s="470" t="n"/>
      <c r="H13" s="470" t="n"/>
      <c r="I13" s="470" t="n"/>
      <c r="J13" s="470" t="n"/>
      <c r="K13" s="470" t="n"/>
      <c r="L13" s="470" t="n"/>
      <c r="M13" s="47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7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7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69" t="inlineStr">
        <is>
          <t>Financial Performance (10-Year)</t>
        </is>
      </c>
      <c r="B68" s="470" t="n"/>
      <c r="C68" s="470" t="n"/>
      <c r="D68" s="470" t="n"/>
      <c r="E68" s="470" t="n"/>
      <c r="F68" s="470" t="n"/>
      <c r="G68" s="470" t="n"/>
      <c r="H68" s="470" t="n"/>
      <c r="I68" s="470" t="n"/>
      <c r="J68" s="470" t="n"/>
      <c r="K68" s="470" t="n"/>
      <c r="L68" s="470" t="n"/>
      <c r="M68" s="47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7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7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7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7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7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7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69" t="inlineStr">
        <is>
          <t>Valuation</t>
        </is>
      </c>
      <c r="B227" s="470" t="n"/>
      <c r="C227" s="470" t="n"/>
      <c r="D227" s="470" t="n"/>
      <c r="E227" s="470" t="n"/>
      <c r="F227" s="470" t="n"/>
      <c r="G227" s="470" t="n"/>
      <c r="H227" s="470" t="n"/>
      <c r="I227" s="470" t="n"/>
      <c r="J227" s="470" t="n"/>
      <c r="K227" s="470" t="n"/>
      <c r="L227" s="470" t="n"/>
      <c r="M227" s="47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7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7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7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7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83" t="inlineStr">
        <is>
          <t>WACC \ TGR</t>
        </is>
      </c>
      <c r="B308" s="476">
        <f>Valuation!B$148</f>
        <v/>
      </c>
      <c r="C308" s="476">
        <f>Valuation!C$148</f>
        <v/>
      </c>
      <c r="D308" s="476">
        <f>Valuation!D$148</f>
        <v/>
      </c>
      <c r="E308" s="476">
        <f>Valuation!E$148</f>
        <v/>
      </c>
      <c r="F308" s="476">
        <f>Valuation!F$148</f>
        <v/>
      </c>
      <c r="G308" s="476">
        <f>Valuation!G$148</f>
        <v/>
      </c>
      <c r="H308" s="47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76">
        <f>Valuation!$A$149</f>
        <v/>
      </c>
      <c r="B309" s="480">
        <f>Valuation!B$149</f>
        <v/>
      </c>
      <c r="C309" s="480">
        <f>Valuation!C$149</f>
        <v/>
      </c>
      <c r="D309" s="480">
        <f>Valuation!D$149</f>
        <v/>
      </c>
      <c r="E309" s="480">
        <f>Valuation!E$149</f>
        <v/>
      </c>
      <c r="F309" s="480">
        <f>Valuation!F$149</f>
        <v/>
      </c>
      <c r="G309" s="480">
        <f>Valuation!G$149</f>
        <v/>
      </c>
      <c r="H309" s="48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76">
        <f>Valuation!$A$150</f>
        <v/>
      </c>
      <c r="B310" s="480">
        <f>Valuation!B$150</f>
        <v/>
      </c>
      <c r="C310" s="480">
        <f>Valuation!C$150</f>
        <v/>
      </c>
      <c r="D310" s="480">
        <f>Valuation!D$150</f>
        <v/>
      </c>
      <c r="E310" s="480">
        <f>Valuation!E$150</f>
        <v/>
      </c>
      <c r="F310" s="480">
        <f>Valuation!F$150</f>
        <v/>
      </c>
      <c r="G310" s="480">
        <f>Valuation!G$150</f>
        <v/>
      </c>
      <c r="H310" s="48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76">
        <f>Valuation!$A$151</f>
        <v/>
      </c>
      <c r="B311" s="480">
        <f>Valuation!B$151</f>
        <v/>
      </c>
      <c r="C311" s="480">
        <f>Valuation!C$151</f>
        <v/>
      </c>
      <c r="D311" s="480">
        <f>Valuation!D$151</f>
        <v/>
      </c>
      <c r="E311" s="480">
        <f>Valuation!E$151</f>
        <v/>
      </c>
      <c r="F311" s="480">
        <f>Valuation!F$151</f>
        <v/>
      </c>
      <c r="G311" s="480">
        <f>Valuation!G$151</f>
        <v/>
      </c>
      <c r="H311" s="48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76">
        <f>Valuation!$A$152</f>
        <v/>
      </c>
      <c r="B312" s="480">
        <f>Valuation!B$152</f>
        <v/>
      </c>
      <c r="C312" s="480">
        <f>Valuation!C$152</f>
        <v/>
      </c>
      <c r="D312" s="480">
        <f>Valuation!D$152</f>
        <v/>
      </c>
      <c r="E312" s="480">
        <f>Valuation!E$152</f>
        <v/>
      </c>
      <c r="F312" s="480">
        <f>Valuation!F$152</f>
        <v/>
      </c>
      <c r="G312" s="480">
        <f>Valuation!G$152</f>
        <v/>
      </c>
      <c r="H312" s="48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76">
        <f>Valuation!$A$153</f>
        <v/>
      </c>
      <c r="B313" s="480">
        <f>Valuation!B$153</f>
        <v/>
      </c>
      <c r="C313" s="480">
        <f>Valuation!C$153</f>
        <v/>
      </c>
      <c r="D313" s="480">
        <f>Valuation!D$153</f>
        <v/>
      </c>
      <c r="E313" s="480">
        <f>Valuation!E$153</f>
        <v/>
      </c>
      <c r="F313" s="480">
        <f>Valuation!F$153</f>
        <v/>
      </c>
      <c r="G313" s="480">
        <f>Valuation!G$153</f>
        <v/>
      </c>
      <c r="H313" s="48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76">
        <f>Valuation!$A$154</f>
        <v/>
      </c>
      <c r="B314" s="480">
        <f>Valuation!B$154</f>
        <v/>
      </c>
      <c r="C314" s="480">
        <f>Valuation!C$154</f>
        <v/>
      </c>
      <c r="D314" s="480">
        <f>Valuation!D$154</f>
        <v/>
      </c>
      <c r="E314" s="480">
        <f>Valuation!E$154</f>
        <v/>
      </c>
      <c r="F314" s="480">
        <f>Valuation!F$154</f>
        <v/>
      </c>
      <c r="G314" s="480">
        <f>Valuation!G$154</f>
        <v/>
      </c>
      <c r="H314" s="48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76">
        <f>Valuation!$A$155</f>
        <v/>
      </c>
      <c r="B315" s="480">
        <f>Valuation!B$155</f>
        <v/>
      </c>
      <c r="C315" s="480">
        <f>Valuation!C$155</f>
        <v/>
      </c>
      <c r="D315" s="480">
        <f>Valuation!D$155</f>
        <v/>
      </c>
      <c r="E315" s="480">
        <f>Valuation!E$155</f>
        <v/>
      </c>
      <c r="F315" s="480">
        <f>Valuation!F$155</f>
        <v/>
      </c>
      <c r="G315" s="480">
        <f>Valuation!G$155</f>
        <v/>
      </c>
      <c r="H315" s="48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76">
        <f>Valuation!$A$156</f>
        <v/>
      </c>
      <c r="B316" s="480">
        <f>Valuation!B$156</f>
        <v/>
      </c>
      <c r="C316" s="480">
        <f>Valuation!C$156</f>
        <v/>
      </c>
      <c r="D316" s="480">
        <f>Valuation!D$156</f>
        <v/>
      </c>
      <c r="E316" s="480">
        <f>Valuation!E$156</f>
        <v/>
      </c>
      <c r="F316" s="480">
        <f>Valuation!F$156</f>
        <v/>
      </c>
      <c r="G316" s="480">
        <f>Valuation!G$156</f>
        <v/>
      </c>
      <c r="H316" s="48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76">
        <f>Valuation!$A$157</f>
        <v/>
      </c>
      <c r="B317" s="480">
        <f>Valuation!B$157</f>
        <v/>
      </c>
      <c r="C317" s="480">
        <f>Valuation!C$157</f>
        <v/>
      </c>
      <c r="D317" s="480">
        <f>Valuation!D$157</f>
        <v/>
      </c>
      <c r="E317" s="480">
        <f>Valuation!E$157</f>
        <v/>
      </c>
      <c r="F317" s="480">
        <f>Valuation!F$157</f>
        <v/>
      </c>
      <c r="G317" s="480">
        <f>Valuation!G$157</f>
        <v/>
      </c>
      <c r="H317" s="48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69" t="inlineStr">
        <is>
          <t>Quarterly Trend</t>
        </is>
      </c>
      <c r="B323" s="470" t="n"/>
      <c r="C323" s="470" t="n"/>
      <c r="D323" s="470" t="n"/>
      <c r="E323" s="470" t="n"/>
      <c r="F323" s="470" t="n"/>
      <c r="G323" s="470" t="n"/>
      <c r="H323" s="470" t="n"/>
      <c r="I323" s="470" t="n"/>
      <c r="J323" s="470" t="n"/>
      <c r="K323" s="470" t="n"/>
      <c r="L323" s="470" t="n"/>
      <c r="M323" s="47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7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32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46" t="n"/>
      <c r="C4" s="446" t="n"/>
      <c r="D4" s="446" t="n"/>
      <c r="E4" s="446" t="n"/>
      <c r="F4" s="446" t="n"/>
      <c r="G4" s="446" t="n"/>
      <c r="H4" s="446" t="n"/>
      <c r="I4" s="446" t="n"/>
      <c r="J4" s="446" t="n"/>
      <c r="K4" s="446" t="n"/>
      <c r="L4" s="446" t="n"/>
      <c r="M4" s="446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200.75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24220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4862165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-126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4862039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36.493575020641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40.96938775510204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3.943705637594844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0.01964485996311255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0.0001977165867858466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46" t="n"/>
      <c r="C23" s="446" t="n"/>
      <c r="D23" s="446" t="n"/>
      <c r="E23" s="446" t="n"/>
      <c r="F23" s="446" t="n"/>
      <c r="G23" s="446" t="n"/>
      <c r="H23" s="446" t="n"/>
      <c r="I23" s="446" t="n"/>
      <c r="J23" s="446" t="n"/>
      <c r="K23" s="446" t="n"/>
      <c r="L23" s="446" t="n"/>
      <c r="M23" s="446" t="n"/>
    </row>
    <row r="24" ht="18" customHeight="1" s="74">
      <c r="A24" s="297" t="inlineStr">
        <is>
          <t>Risk-Free Rate (10Y UST)</t>
        </is>
      </c>
      <c r="B24" s="304" t="n">
        <v>0.0475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0.0445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2.21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148" t="n"/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6" t="n"/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46" t="n"/>
      <c r="C39" s="446" t="n"/>
      <c r="D39" s="446" t="n"/>
      <c r="E39" s="446" t="n"/>
      <c r="F39" s="446" t="n"/>
      <c r="G39" s="446" t="n"/>
      <c r="H39" s="446" t="n"/>
      <c r="I39" s="446" t="n"/>
      <c r="J39" s="446" t="n"/>
      <c r="K39" s="446" t="n"/>
      <c r="L39" s="446" t="n"/>
      <c r="M39" s="446" t="n"/>
    </row>
    <row r="40" ht="18" customHeight="1" s="74">
      <c r="A40" s="306" t="inlineStr">
        <is>
          <t>Fiscal Year</t>
        </is>
      </c>
      <c r="B40" s="436" t="inlineStr">
        <is>
          <t>2016</t>
        </is>
      </c>
      <c r="C40" s="436" t="inlineStr">
        <is>
          <t>2017</t>
        </is>
      </c>
      <c r="D40" s="436" t="inlineStr">
        <is>
          <t>2018</t>
        </is>
      </c>
      <c r="E40" s="436" t="inlineStr">
        <is>
          <t>2019</t>
        </is>
      </c>
      <c r="F40" s="436" t="inlineStr">
        <is>
          <t>2020</t>
        </is>
      </c>
      <c r="G40" s="436" t="inlineStr">
        <is>
          <t>2021</t>
        </is>
      </c>
      <c r="H40" s="436" t="inlineStr">
        <is>
          <t>2022</t>
        </is>
      </c>
      <c r="I40" s="436" t="inlineStr">
        <is>
          <t>2023</t>
        </is>
      </c>
      <c r="J40" s="436" t="inlineStr">
        <is>
          <t>2024</t>
        </is>
      </c>
      <c r="K40" s="436" t="inlineStr">
        <is>
          <t>2025</t>
        </is>
      </c>
      <c r="L40" s="436" t="inlineStr">
        <is>
          <t>2026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29.29</v>
      </c>
      <c r="C41" s="437" t="n">
        <v>109.18</v>
      </c>
      <c r="D41" s="437" t="n">
        <v>245.8</v>
      </c>
      <c r="E41" s="437" t="n">
        <v>143.75</v>
      </c>
      <c r="F41" s="437" t="n">
        <v>236.43</v>
      </c>
      <c r="G41" s="437" t="n">
        <v>519.59</v>
      </c>
      <c r="H41" s="437" t="n">
        <v>244.86</v>
      </c>
      <c r="I41" s="437" t="n">
        <v>195.37</v>
      </c>
      <c r="J41" s="437" t="n">
        <v>615.27</v>
      </c>
      <c r="K41" s="437" t="n">
        <v>120.07</v>
      </c>
      <c r="L41" s="437" t="n">
        <v>191.13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46" t="n"/>
      <c r="C44" s="446" t="n"/>
      <c r="D44" s="446" t="n"/>
      <c r="E44" s="446" t="n"/>
      <c r="F44" s="446" t="n"/>
      <c r="G44" s="446" t="n"/>
      <c r="H44" s="446" t="n"/>
      <c r="I44" s="446" t="n"/>
      <c r="J44" s="446" t="n"/>
      <c r="K44" s="446" t="n"/>
      <c r="L44" s="446" t="n"/>
      <c r="M44" s="446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158" t="n"/>
      <c r="C46" s="158" t="n"/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158" t="n"/>
      <c r="C47" s="158" t="n"/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59" t="n">
        <v>0.3</v>
      </c>
      <c r="C48" s="459" t="n">
        <v>-1.1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4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NVDA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NVIDIA Corporation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Semiconductors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January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2.21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200.75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4862000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2026-08-01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2016</t>
        </is>
      </c>
      <c r="C13" s="14" t="inlineStr">
        <is>
          <t>2017</t>
        </is>
      </c>
      <c r="D13" s="14" t="inlineStr">
        <is>
          <t>2018</t>
        </is>
      </c>
      <c r="E13" s="14" t="inlineStr">
        <is>
          <t>2019</t>
        </is>
      </c>
      <c r="F13" s="14" t="inlineStr">
        <is>
          <t>2020</t>
        </is>
      </c>
      <c r="G13" s="14" t="inlineStr">
        <is>
          <t>2021</t>
        </is>
      </c>
      <c r="H13" s="14" t="inlineStr">
        <is>
          <t>2022</t>
        </is>
      </c>
      <c r="I13" s="14" t="inlineStr">
        <is>
          <t>2023</t>
        </is>
      </c>
      <c r="J13" s="14" t="inlineStr">
        <is>
          <t>2024</t>
        </is>
      </c>
      <c r="K13" s="14" t="inlineStr">
        <is>
          <t>2025</t>
        </is>
      </c>
      <c r="L13" s="14" t="inlineStr">
        <is>
          <t>2026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5010</v>
      </c>
      <c r="C14" s="379" t="n">
        <v>6910</v>
      </c>
      <c r="D14" s="379" t="n">
        <v>9714</v>
      </c>
      <c r="E14" s="379" t="n">
        <v>11716</v>
      </c>
      <c r="F14" s="379" t="n">
        <v>10918</v>
      </c>
      <c r="G14" s="379" t="n">
        <v>16675</v>
      </c>
      <c r="H14" s="379" t="n">
        <v>26914</v>
      </c>
      <c r="I14" s="379" t="n">
        <v>26974</v>
      </c>
      <c r="J14" s="379" t="n">
        <v>60922</v>
      </c>
      <c r="K14" s="379" t="n">
        <v>130497</v>
      </c>
      <c r="L14" s="379" t="n">
        <v>215938</v>
      </c>
      <c r="N14" s="380" t="n">
        <v>26044</v>
      </c>
      <c r="O14" s="380" t="n">
        <v>30040</v>
      </c>
      <c r="P14" s="380" t="n">
        <v>35082</v>
      </c>
      <c r="Q14" s="380" t="n">
        <v>39331</v>
      </c>
      <c r="R14" s="380" t="n">
        <v>44062</v>
      </c>
      <c r="S14" s="380" t="n">
        <v>46743</v>
      </c>
      <c r="T14" s="380" t="n">
        <v>57006</v>
      </c>
      <c r="U14" s="380" t="n">
        <v>68127</v>
      </c>
      <c r="V14" s="381" t="n">
        <v>81615</v>
      </c>
      <c r="W14" s="460" t="n"/>
      <c r="X14" s="460" t="n"/>
      <c r="Y14" s="460" t="n"/>
    </row>
    <row r="15" ht="15" customHeight="1" s="74">
      <c r="A15" s="17" t="inlineStr">
        <is>
          <t>Cost of Goods Sold</t>
        </is>
      </c>
      <c r="B15" s="382" t="n">
        <v>2199</v>
      </c>
      <c r="C15" s="382" t="n">
        <v>2847</v>
      </c>
      <c r="D15" s="382" t="n">
        <v>3892</v>
      </c>
      <c r="E15" s="382" t="n">
        <v>4545</v>
      </c>
      <c r="F15" s="382" t="n">
        <v>4150</v>
      </c>
      <c r="G15" s="382" t="n">
        <v>6279</v>
      </c>
      <c r="H15" s="382" t="n">
        <v>9439</v>
      </c>
      <c r="I15" s="382" t="n">
        <v>11618</v>
      </c>
      <c r="J15" s="382" t="n">
        <v>16621</v>
      </c>
      <c r="K15" s="382" t="n">
        <v>32639</v>
      </c>
      <c r="L15" s="382" t="n">
        <v>62475</v>
      </c>
      <c r="N15" s="383" t="n">
        <v>5638</v>
      </c>
      <c r="O15" s="383" t="n">
        <v>7466</v>
      </c>
      <c r="P15" s="383" t="n">
        <v>8926</v>
      </c>
      <c r="Q15" s="383" t="n">
        <v>10609</v>
      </c>
      <c r="R15" s="383" t="n">
        <v>17394</v>
      </c>
      <c r="S15" s="383" t="n">
        <v>12890</v>
      </c>
      <c r="T15" s="383" t="n">
        <v>15157</v>
      </c>
      <c r="U15" s="383" t="n">
        <v>17034</v>
      </c>
      <c r="V15" s="384" t="n">
        <v>20458</v>
      </c>
      <c r="W15" s="460" t="n"/>
      <c r="X15" s="460" t="n"/>
      <c r="Y15" s="460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461">
        <f>IFERROR(IF(OR(NOT(ISNUMBER(Data!W14)),NOT(ISNUMBER(Data!W15))),"-",Data!W14-Data!W15),"-")</f>
        <v/>
      </c>
      <c r="X16" s="461">
        <f>IFERROR(IF(OR(NOT(ISNUMBER(Data!X14)),NOT(ISNUMBER(Data!X15))),"-",Data!X14-Data!X15),"-")</f>
        <v/>
      </c>
      <c r="Y16" s="461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602</v>
      </c>
      <c r="C17" s="382" t="n">
        <v>663</v>
      </c>
      <c r="D17" s="382" t="n">
        <v>815</v>
      </c>
      <c r="E17" s="382" t="n">
        <v>991</v>
      </c>
      <c r="F17" s="382" t="n">
        <v>1093</v>
      </c>
      <c r="G17" s="382" t="n">
        <v>1940</v>
      </c>
      <c r="H17" s="382" t="n">
        <v>2166</v>
      </c>
      <c r="I17" s="382" t="n">
        <v>2440</v>
      </c>
      <c r="J17" s="382" t="n">
        <v>2654</v>
      </c>
      <c r="K17" s="382" t="n">
        <v>3491</v>
      </c>
      <c r="L17" s="382" t="n">
        <v>4579</v>
      </c>
      <c r="N17" s="383" t="n">
        <v>777</v>
      </c>
      <c r="O17" s="383" t="n">
        <v>842</v>
      </c>
      <c r="P17" s="383" t="n">
        <v>897</v>
      </c>
      <c r="Q17" s="383" t="n">
        <v>975</v>
      </c>
      <c r="R17" s="383" t="n">
        <v>1041</v>
      </c>
      <c r="S17" s="383" t="n">
        <v>1122</v>
      </c>
      <c r="T17" s="383" t="n">
        <v>1134</v>
      </c>
      <c r="U17" s="383" t="n">
        <v>1282</v>
      </c>
      <c r="V17" s="384" t="n">
        <v>1300</v>
      </c>
      <c r="W17" s="384" t="n"/>
      <c r="X17" s="384" t="n"/>
      <c r="Y17" s="384" t="n"/>
    </row>
    <row r="18" ht="15" customHeight="1" s="74">
      <c r="A18" s="15" t="inlineStr">
        <is>
          <t>R&amp;D</t>
        </is>
      </c>
      <c r="B18" s="379" t="n">
        <v>1331</v>
      </c>
      <c r="C18" s="379" t="n">
        <v>1463</v>
      </c>
      <c r="D18" s="379" t="n">
        <v>1797</v>
      </c>
      <c r="E18" s="379" t="n">
        <v>2376</v>
      </c>
      <c r="F18" s="379" t="n">
        <v>2829</v>
      </c>
      <c r="G18" s="379" t="n">
        <v>3924</v>
      </c>
      <c r="H18" s="379" t="n">
        <v>5268</v>
      </c>
      <c r="I18" s="379" t="n">
        <v>7339</v>
      </c>
      <c r="J18" s="379" t="n">
        <v>8675</v>
      </c>
      <c r="K18" s="379" t="n">
        <v>12914</v>
      </c>
      <c r="L18" s="379" t="n">
        <v>18497</v>
      </c>
      <c r="N18" s="380" t="n">
        <v>2720</v>
      </c>
      <c r="O18" s="380" t="n">
        <v>3090</v>
      </c>
      <c r="P18" s="380" t="n">
        <v>3390</v>
      </c>
      <c r="Q18" s="380" t="n">
        <v>3714</v>
      </c>
      <c r="R18" s="380" t="n">
        <v>3989</v>
      </c>
      <c r="S18" s="380" t="n">
        <v>4291</v>
      </c>
      <c r="T18" s="380" t="n">
        <v>4705</v>
      </c>
      <c r="U18" s="380" t="n">
        <v>5512</v>
      </c>
      <c r="V18" s="381" t="n">
        <v>6321</v>
      </c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2064</v>
      </c>
      <c r="C19" s="71" t="n">
        <v>2129</v>
      </c>
      <c r="D19" s="71" t="n">
        <v>2612</v>
      </c>
      <c r="E19" s="71" t="n">
        <v>3367</v>
      </c>
      <c r="F19" s="71" t="n">
        <v>3922</v>
      </c>
      <c r="G19" s="71" t="n">
        <v>5864</v>
      </c>
      <c r="H19" s="71" t="n">
        <v>7434</v>
      </c>
      <c r="I19" s="71" t="n">
        <v>11132</v>
      </c>
      <c r="J19" s="71" t="n">
        <v>11329</v>
      </c>
      <c r="K19" s="71" t="n">
        <v>16405</v>
      </c>
      <c r="L19" s="71" t="n">
        <v>23076</v>
      </c>
      <c r="N19" s="216" t="n">
        <v>3497</v>
      </c>
      <c r="O19" s="216" t="n">
        <v>3932</v>
      </c>
      <c r="P19" s="216" t="n">
        <v>4287</v>
      </c>
      <c r="Q19" s="216" t="n">
        <v>4689</v>
      </c>
      <c r="R19" s="216" t="n">
        <v>5030</v>
      </c>
      <c r="S19" s="216" t="n">
        <v>5413</v>
      </c>
      <c r="T19" s="216" t="n">
        <v>5839</v>
      </c>
      <c r="U19" s="216" t="n">
        <v>6794</v>
      </c>
      <c r="V19" s="256" t="n">
        <v>7621</v>
      </c>
      <c r="W19" s="461" t="n"/>
      <c r="X19" s="461" t="n"/>
      <c r="Y19" s="461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197</v>
      </c>
      <c r="C21" s="382" t="n">
        <v>187</v>
      </c>
      <c r="D21" s="382" t="n">
        <v>199</v>
      </c>
      <c r="E21" s="382" t="n">
        <v>262</v>
      </c>
      <c r="F21" s="382" t="n">
        <v>381</v>
      </c>
      <c r="G21" s="382" t="n">
        <v>1098</v>
      </c>
      <c r="H21" s="382" t="n">
        <v>1174</v>
      </c>
      <c r="I21" s="382" t="n">
        <v>1544</v>
      </c>
      <c r="J21" s="382" t="n">
        <v>1508</v>
      </c>
      <c r="K21" s="382" t="n">
        <v>1864</v>
      </c>
      <c r="L21" s="382" t="n">
        <v>2843</v>
      </c>
      <c r="N21" s="383" t="n"/>
      <c r="O21" s="383" t="n"/>
      <c r="P21" s="383" t="n">
        <v>478</v>
      </c>
      <c r="Q21" s="383" t="n">
        <v>543</v>
      </c>
      <c r="R21" s="383" t="n">
        <v>611</v>
      </c>
      <c r="S21" s="383" t="n">
        <v>669</v>
      </c>
      <c r="T21" s="383" t="n">
        <v>751</v>
      </c>
      <c r="U21" s="383" t="n">
        <v>812</v>
      </c>
      <c r="V21" s="384" t="n">
        <v>997</v>
      </c>
      <c r="W21" s="384" t="n"/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747</v>
      </c>
      <c r="C22" s="70" t="n">
        <v>1934</v>
      </c>
      <c r="D22" s="70" t="n">
        <v>3210</v>
      </c>
      <c r="E22" s="70" t="n">
        <v>3804</v>
      </c>
      <c r="F22" s="70" t="n">
        <v>2846</v>
      </c>
      <c r="G22" s="70" t="n">
        <v>4532</v>
      </c>
      <c r="H22" s="70" t="n">
        <v>10041</v>
      </c>
      <c r="I22" s="70" t="n">
        <v>4224</v>
      </c>
      <c r="J22" s="70" t="n">
        <v>32972</v>
      </c>
      <c r="K22" s="70" t="n">
        <v>81453</v>
      </c>
      <c r="L22" s="70" t="n">
        <v>130387</v>
      </c>
      <c r="N22" s="220" t="n">
        <v>16909</v>
      </c>
      <c r="O22" s="220" t="n">
        <v>18642</v>
      </c>
      <c r="P22" s="220" t="n">
        <v>21869</v>
      </c>
      <c r="Q22" s="220" t="n">
        <v>24033</v>
      </c>
      <c r="R22" s="220" t="n">
        <v>21638</v>
      </c>
      <c r="S22" s="220" t="n">
        <v>28440</v>
      </c>
      <c r="T22" s="220" t="n">
        <v>36010</v>
      </c>
      <c r="U22" s="220" t="n">
        <v>44299</v>
      </c>
      <c r="V22" s="258" t="n">
        <v>53536</v>
      </c>
      <c r="W22" s="461" t="n"/>
      <c r="X22" s="461" t="n"/>
      <c r="Y22" s="461" t="n"/>
    </row>
    <row r="23" ht="15" customHeight="1" s="74">
      <c r="A23" s="17" t="inlineStr">
        <is>
          <t>Interest Expense</t>
        </is>
      </c>
      <c r="B23" s="382" t="n">
        <v>47</v>
      </c>
      <c r="C23" s="382" t="n">
        <v>58</v>
      </c>
      <c r="D23" s="382" t="n">
        <v>61</v>
      </c>
      <c r="E23" s="382" t="n">
        <v>58</v>
      </c>
      <c r="F23" s="382" t="n">
        <v>52</v>
      </c>
      <c r="G23" s="382" t="n">
        <v>184</v>
      </c>
      <c r="H23" s="382" t="n">
        <v>236</v>
      </c>
      <c r="I23" s="382" t="n">
        <v>262</v>
      </c>
      <c r="J23" s="382" t="n">
        <v>257</v>
      </c>
      <c r="K23" s="382" t="n">
        <v>247</v>
      </c>
      <c r="L23" s="382" t="n">
        <v>259</v>
      </c>
      <c r="N23" s="383" t="n">
        <v>-64</v>
      </c>
      <c r="O23" s="383" t="n">
        <v>61</v>
      </c>
      <c r="P23" s="383" t="n">
        <v>-61</v>
      </c>
      <c r="Q23" s="383" t="n">
        <v>311</v>
      </c>
      <c r="R23" s="383" t="n">
        <v>-63</v>
      </c>
      <c r="S23" s="383" t="n">
        <v>62</v>
      </c>
      <c r="T23" s="383" t="n">
        <v>-61</v>
      </c>
      <c r="U23" s="383" t="n">
        <v>321</v>
      </c>
      <c r="V23" s="384" t="n">
        <v>102</v>
      </c>
      <c r="W23" s="460" t="n"/>
      <c r="X23" s="460" t="n"/>
      <c r="Y23" s="460" t="n"/>
    </row>
    <row r="24" ht="15" customHeight="1" s="74">
      <c r="A24" s="15" t="inlineStr">
        <is>
          <t>Pre-Tax Income</t>
        </is>
      </c>
      <c r="B24" s="70" t="n">
        <v>743</v>
      </c>
      <c r="C24" s="70" t="n">
        <v>1905</v>
      </c>
      <c r="D24" s="70" t="n">
        <v>3196</v>
      </c>
      <c r="E24" s="70" t="n">
        <v>3896</v>
      </c>
      <c r="F24" s="70" t="n">
        <v>2970</v>
      </c>
      <c r="G24" s="70" t="n">
        <v>4409</v>
      </c>
      <c r="H24" s="70" t="n">
        <v>9941</v>
      </c>
      <c r="I24" s="70" t="n">
        <v>4181</v>
      </c>
      <c r="J24" s="70" t="n">
        <v>33818</v>
      </c>
      <c r="K24" s="70" t="n">
        <v>84026</v>
      </c>
      <c r="L24" s="70" t="n">
        <v>141450</v>
      </c>
      <c r="N24" s="220" t="n">
        <v>17279</v>
      </c>
      <c r="O24" s="220" t="n">
        <v>19214</v>
      </c>
      <c r="P24" s="220" t="n">
        <v>22316</v>
      </c>
      <c r="Q24" s="220" t="n">
        <v>25217</v>
      </c>
      <c r="R24" s="220" t="n">
        <v>21910</v>
      </c>
      <c r="S24" s="220" t="n">
        <v>31206</v>
      </c>
      <c r="T24" s="220" t="n">
        <v>37936</v>
      </c>
      <c r="U24" s="220" t="n">
        <v>50398</v>
      </c>
      <c r="V24" s="258" t="n">
        <v>69903</v>
      </c>
      <c r="W24" s="461" t="n"/>
      <c r="X24" s="461" t="n"/>
      <c r="Y24" s="461" t="n"/>
    </row>
    <row r="25" ht="15" customHeight="1" s="74">
      <c r="A25" s="17" t="inlineStr">
        <is>
          <t>Tax Expense</t>
        </is>
      </c>
      <c r="B25" s="388" t="n">
        <v>129</v>
      </c>
      <c r="C25" s="388" t="n">
        <v>239</v>
      </c>
      <c r="D25" s="388" t="n">
        <v>149</v>
      </c>
      <c r="E25" s="388" t="n">
        <v>-245</v>
      </c>
      <c r="F25" s="388" t="n">
        <v>174</v>
      </c>
      <c r="G25" s="388" t="n">
        <v>77</v>
      </c>
      <c r="H25" s="388" t="n">
        <v>189</v>
      </c>
      <c r="I25" s="388" t="n">
        <v>-187</v>
      </c>
      <c r="J25" s="388" t="n">
        <v>4058</v>
      </c>
      <c r="K25" s="388" t="n">
        <v>11146</v>
      </c>
      <c r="L25" s="388" t="n">
        <v>21383</v>
      </c>
      <c r="N25" s="389" t="n">
        <v>2398</v>
      </c>
      <c r="O25" s="389" t="n">
        <v>2615</v>
      </c>
      <c r="P25" s="389" t="n">
        <v>3007</v>
      </c>
      <c r="Q25" s="389" t="n">
        <v>3126</v>
      </c>
      <c r="R25" s="389" t="n">
        <v>3135</v>
      </c>
      <c r="S25" s="389" t="n">
        <v>4784</v>
      </c>
      <c r="T25" s="389" t="n">
        <v>6026</v>
      </c>
      <c r="U25" s="389" t="n">
        <v>7438</v>
      </c>
      <c r="V25" s="390" t="n">
        <v>11582</v>
      </c>
      <c r="W25" s="460" t="n"/>
      <c r="X25" s="460" t="n"/>
      <c r="Y25" s="460" t="n"/>
    </row>
    <row r="26" ht="15" customHeight="1" s="74">
      <c r="A26" s="15" t="inlineStr">
        <is>
          <t>Net Income</t>
        </is>
      </c>
      <c r="B26" s="379" t="n">
        <v>614</v>
      </c>
      <c r="C26" s="379" t="n">
        <v>1666</v>
      </c>
      <c r="D26" s="379" t="n">
        <v>3047</v>
      </c>
      <c r="E26" s="379" t="n">
        <v>4141</v>
      </c>
      <c r="F26" s="379" t="n">
        <v>2796</v>
      </c>
      <c r="G26" s="379" t="n">
        <v>4332</v>
      </c>
      <c r="H26" s="379" t="n">
        <v>9752</v>
      </c>
      <c r="I26" s="379" t="n">
        <v>4368</v>
      </c>
      <c r="J26" s="379" t="n">
        <v>29760</v>
      </c>
      <c r="K26" s="379" t="n">
        <v>72880</v>
      </c>
      <c r="L26" s="379" t="n">
        <v>120067</v>
      </c>
      <c r="N26" s="380" t="n">
        <v>14881</v>
      </c>
      <c r="O26" s="380" t="n">
        <v>16599</v>
      </c>
      <c r="P26" s="380" t="n">
        <v>19309</v>
      </c>
      <c r="Q26" s="380" t="n">
        <v>22091</v>
      </c>
      <c r="R26" s="380" t="n">
        <v>18775</v>
      </c>
      <c r="S26" s="380" t="n">
        <v>26422</v>
      </c>
      <c r="T26" s="380" t="n">
        <v>31910</v>
      </c>
      <c r="U26" s="380" t="n">
        <v>42960</v>
      </c>
      <c r="V26" s="381" t="n">
        <v>58321</v>
      </c>
      <c r="W26" s="460" t="n"/>
      <c r="X26" s="460" t="n"/>
      <c r="Y26" s="460" t="n"/>
    </row>
    <row r="27" ht="15" customHeight="1" s="74">
      <c r="A27" s="17" t="inlineStr">
        <is>
          <t>Diluted EPS</t>
        </is>
      </c>
      <c r="B27" s="391" t="n">
        <v>1.08</v>
      </c>
      <c r="C27" s="391" t="n">
        <v>2.57</v>
      </c>
      <c r="D27" s="391" t="n">
        <v>4.82</v>
      </c>
      <c r="E27" s="391" t="n">
        <v>6.63</v>
      </c>
      <c r="F27" s="391" t="n">
        <v>4.52</v>
      </c>
      <c r="G27" s="391" t="n">
        <v>6.9</v>
      </c>
      <c r="H27" s="391" t="n">
        <v>3.85</v>
      </c>
      <c r="I27" s="391" t="n">
        <v>1.74</v>
      </c>
      <c r="J27" s="391" t="n">
        <v>11.93</v>
      </c>
      <c r="K27" s="391" t="n">
        <v>2.94</v>
      </c>
      <c r="L27" s="391" t="n">
        <v>4.9</v>
      </c>
      <c r="N27" s="392" t="n">
        <v>5.98</v>
      </c>
      <c r="O27" s="392" t="n">
        <v>0.67</v>
      </c>
      <c r="P27" s="392" t="n">
        <v>0.78</v>
      </c>
      <c r="Q27" s="392" t="n"/>
      <c r="R27" s="392" t="n">
        <v>0.76</v>
      </c>
      <c r="S27" s="392" t="n">
        <v>1.08</v>
      </c>
      <c r="T27" s="392" t="n">
        <v>1.3</v>
      </c>
      <c r="U27" s="392" t="n"/>
      <c r="V27" s="384" t="n">
        <v>2.39</v>
      </c>
      <c r="W27" s="460" t="n"/>
      <c r="X27" s="460" t="n"/>
      <c r="Y27" s="460" t="n"/>
    </row>
    <row r="28" ht="15" customHeight="1" s="74">
      <c r="A28" s="15" t="inlineStr">
        <is>
          <t>Diluted Shares Out. (M)</t>
        </is>
      </c>
      <c r="B28" s="393" t="n">
        <v>569</v>
      </c>
      <c r="C28" s="393" t="n">
        <v>649</v>
      </c>
      <c r="D28" s="393" t="n">
        <v>632</v>
      </c>
      <c r="E28" s="393" t="n">
        <v>625</v>
      </c>
      <c r="F28" s="393" t="n">
        <v>618</v>
      </c>
      <c r="G28" s="393" t="n">
        <v>628</v>
      </c>
      <c r="H28" s="393" t="n">
        <v>2535</v>
      </c>
      <c r="I28" s="393" t="n">
        <v>2507</v>
      </c>
      <c r="J28" s="393" t="n">
        <v>2494</v>
      </c>
      <c r="K28" s="393" t="n">
        <v>24804</v>
      </c>
      <c r="L28" s="393" t="n">
        <v>24514</v>
      </c>
      <c r="M28" s="308" t="n">
        <v>24220</v>
      </c>
      <c r="N28" s="394" t="n">
        <v>2489</v>
      </c>
      <c r="O28" s="394" t="n">
        <v>24848</v>
      </c>
      <c r="P28" s="394" t="n">
        <v>24774</v>
      </c>
      <c r="Q28" s="394" t="n"/>
      <c r="R28" s="394" t="n">
        <v>24611</v>
      </c>
      <c r="S28" s="394" t="n">
        <v>24532</v>
      </c>
      <c r="T28" s="394" t="n">
        <v>24483</v>
      </c>
      <c r="U28" s="394" t="n"/>
      <c r="V28" s="381" t="n">
        <v>24391</v>
      </c>
      <c r="W28" s="460" t="n"/>
      <c r="X28" s="460" t="n"/>
      <c r="Y28" s="460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596</v>
      </c>
      <c r="C32" s="379" t="n">
        <v>1766</v>
      </c>
      <c r="D32" s="379" t="n">
        <v>4002</v>
      </c>
      <c r="E32" s="379" t="n">
        <v>782</v>
      </c>
      <c r="F32" s="379" t="n">
        <v>10896</v>
      </c>
      <c r="G32" s="379" t="n">
        <v>847</v>
      </c>
      <c r="H32" s="379" t="n">
        <v>1990</v>
      </c>
      <c r="I32" s="379" t="n">
        <v>3389</v>
      </c>
      <c r="J32" s="379" t="n">
        <v>7280</v>
      </c>
      <c r="K32" s="379" t="n">
        <v>8589</v>
      </c>
      <c r="L32" s="379" t="n">
        <v>10605</v>
      </c>
      <c r="N32" s="380" t="n">
        <v>7587</v>
      </c>
      <c r="O32" s="380" t="n">
        <v>8563</v>
      </c>
      <c r="P32" s="380" t="n">
        <v>9107</v>
      </c>
      <c r="Q32" s="380" t="n">
        <v>8589</v>
      </c>
      <c r="R32" s="380" t="n">
        <v>15234</v>
      </c>
      <c r="S32" s="380" t="n">
        <v>11639</v>
      </c>
      <c r="T32" s="380" t="n">
        <v>11486</v>
      </c>
      <c r="U32" s="380" t="n">
        <v>10605</v>
      </c>
      <c r="V32" s="381" t="n">
        <v>13237</v>
      </c>
      <c r="W32" s="460" t="n"/>
      <c r="X32" s="460" t="n"/>
      <c r="Y32" s="460" t="n"/>
    </row>
    <row r="33" ht="15" customHeight="1" s="74">
      <c r="A33" s="17" t="inlineStr">
        <is>
          <t>Short-term Debt</t>
        </is>
      </c>
      <c r="B33" s="382" t="n"/>
      <c r="C33" s="382" t="n">
        <v>796</v>
      </c>
      <c r="D33" s="382" t="n">
        <v>15</v>
      </c>
      <c r="E33" s="382" t="n">
        <v>0</v>
      </c>
      <c r="F33" s="382" t="n"/>
      <c r="G33" s="382" t="n">
        <v>999</v>
      </c>
      <c r="H33" s="382" t="n">
        <v>0</v>
      </c>
      <c r="I33" s="382" t="n">
        <v>1250</v>
      </c>
      <c r="J33" s="382" t="n">
        <v>1250</v>
      </c>
      <c r="K33" s="382" t="n">
        <v>0</v>
      </c>
      <c r="L33" s="382" t="n">
        <v>999</v>
      </c>
      <c r="N33" s="383" t="n">
        <v>1250</v>
      </c>
      <c r="O33" s="383" t="n">
        <v>0</v>
      </c>
      <c r="P33" s="383" t="n">
        <v>0</v>
      </c>
      <c r="Q33" s="383" t="n">
        <v>0</v>
      </c>
      <c r="R33" s="383" t="n">
        <v>0</v>
      </c>
      <c r="S33" s="383" t="n">
        <v>0</v>
      </c>
      <c r="T33" s="383" t="n">
        <v>999</v>
      </c>
      <c r="U33" s="383" t="n">
        <v>999</v>
      </c>
      <c r="V33" s="384" t="n">
        <v>1000</v>
      </c>
      <c r="W33" s="460" t="n"/>
      <c r="X33" s="460" t="n"/>
      <c r="Y33" s="460" t="n"/>
    </row>
    <row r="34" ht="15" customHeight="1" s="74">
      <c r="A34" s="15" t="inlineStr">
        <is>
          <t>Long-term Debt</t>
        </is>
      </c>
      <c r="B34" s="379" t="n">
        <v>1413</v>
      </c>
      <c r="C34" s="379" t="n">
        <v>1983</v>
      </c>
      <c r="D34" s="379" t="n">
        <v>1985</v>
      </c>
      <c r="E34" s="379" t="n">
        <v>1988</v>
      </c>
      <c r="F34" s="379" t="n">
        <v>1991</v>
      </c>
      <c r="G34" s="379" t="n">
        <v>5964</v>
      </c>
      <c r="H34" s="379" t="n">
        <v>10946</v>
      </c>
      <c r="I34" s="379" t="n">
        <v>9703</v>
      </c>
      <c r="J34" s="379" t="n">
        <v>8459</v>
      </c>
      <c r="K34" s="379" t="n">
        <v>8463</v>
      </c>
      <c r="L34" s="379" t="n">
        <v>7469</v>
      </c>
      <c r="N34" s="380" t="n">
        <v>8460</v>
      </c>
      <c r="O34" s="380" t="n">
        <v>8461</v>
      </c>
      <c r="P34" s="380" t="n">
        <v>8462</v>
      </c>
      <c r="Q34" s="380" t="n">
        <v>8463</v>
      </c>
      <c r="R34" s="380" t="n">
        <v>8464</v>
      </c>
      <c r="S34" s="380" t="n">
        <v>8466</v>
      </c>
      <c r="T34" s="380" t="n">
        <v>7468</v>
      </c>
      <c r="U34" s="380" t="n">
        <v>7469</v>
      </c>
      <c r="V34" s="381" t="n">
        <v>7470</v>
      </c>
      <c r="W34" s="460" t="n"/>
      <c r="X34" s="460" t="n"/>
      <c r="Y34" s="460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461">
        <f>IF(AND(NOT(ISNUMBER(Data!W33)),NOT(ISNUMBER(Data!W34))),"-",Data!W33+Data!W34)</f>
        <v/>
      </c>
      <c r="X35" s="461">
        <f>IF(AND(NOT(ISNUMBER(Data!X33)),NOT(ISNUMBER(Data!X34))),"-",Data!X33+Data!X34)</f>
        <v/>
      </c>
      <c r="Y35" s="461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461">
        <f>IFERROR(IF(OR(NOT(ISNUMBER(Data!W35)),NOT(ISNUMBER(Data!W32))),"-",Data!W35-Data!W32),"-")</f>
        <v/>
      </c>
      <c r="X36" s="461">
        <f>IFERROR(IF(OR(NOT(ISNUMBER(Data!X35)),NOT(ISNUMBER(Data!X32))),"-",Data!X35-Data!X32),"-")</f>
        <v/>
      </c>
      <c r="Y36" s="461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>
        <v>8536</v>
      </c>
      <c r="D37" s="382" t="n">
        <v>9255</v>
      </c>
      <c r="E37" s="382" t="n">
        <v>10557</v>
      </c>
      <c r="F37" s="382" t="n">
        <v>13690</v>
      </c>
      <c r="G37" s="382" t="n">
        <v>16055</v>
      </c>
      <c r="H37" s="382" t="n">
        <v>28829</v>
      </c>
      <c r="I37" s="382" t="n">
        <v>23073</v>
      </c>
      <c r="J37" s="382" t="n">
        <v>44345</v>
      </c>
      <c r="K37" s="382" t="n">
        <v>80126</v>
      </c>
      <c r="L37" s="382" t="n">
        <v>125605</v>
      </c>
      <c r="N37" s="383" t="n">
        <v>53729</v>
      </c>
      <c r="O37" s="383" t="n">
        <v>59633</v>
      </c>
      <c r="P37" s="383" t="n">
        <v>67640</v>
      </c>
      <c r="Q37" s="383" t="n">
        <v>80126</v>
      </c>
      <c r="R37" s="383" t="n">
        <v>89935</v>
      </c>
      <c r="S37" s="383" t="n">
        <v>102219</v>
      </c>
      <c r="T37" s="383" t="n">
        <v>116492</v>
      </c>
      <c r="U37" s="383" t="n">
        <v>125605</v>
      </c>
      <c r="V37" s="384" t="n">
        <v>150995</v>
      </c>
      <c r="W37" s="460" t="n"/>
      <c r="X37" s="460" t="n"/>
      <c r="Y37" s="460" t="n"/>
    </row>
    <row r="38" ht="15" customHeight="1" s="74">
      <c r="A38" s="15" t="inlineStr">
        <is>
          <t>Total Current Liabilities</t>
        </is>
      </c>
      <c r="B38" s="379" t="n"/>
      <c r="C38" s="379" t="n">
        <v>1788</v>
      </c>
      <c r="D38" s="379" t="n">
        <v>1153</v>
      </c>
      <c r="E38" s="379" t="n">
        <v>1329</v>
      </c>
      <c r="F38" s="379" t="n">
        <v>1784</v>
      </c>
      <c r="G38" s="379" t="n">
        <v>3925</v>
      </c>
      <c r="H38" s="379" t="n">
        <v>4335</v>
      </c>
      <c r="I38" s="379" t="n">
        <v>6563</v>
      </c>
      <c r="J38" s="379" t="n">
        <v>10631</v>
      </c>
      <c r="K38" s="379" t="n">
        <v>18047</v>
      </c>
      <c r="L38" s="379" t="n">
        <v>32163</v>
      </c>
      <c r="N38" s="380" t="n">
        <v>15223</v>
      </c>
      <c r="O38" s="380" t="n">
        <v>13969</v>
      </c>
      <c r="P38" s="380" t="n">
        <v>16479</v>
      </c>
      <c r="Q38" s="380" t="n">
        <v>18047</v>
      </c>
      <c r="R38" s="380" t="n">
        <v>26542</v>
      </c>
      <c r="S38" s="380" t="n">
        <v>24257</v>
      </c>
      <c r="T38" s="380" t="n">
        <v>26075</v>
      </c>
      <c r="U38" s="380" t="n">
        <v>32163</v>
      </c>
      <c r="V38" s="381" t="n">
        <v>43884</v>
      </c>
      <c r="W38" s="460" t="n"/>
      <c r="X38" s="460" t="n"/>
      <c r="Y38" s="460" t="n"/>
    </row>
    <row r="39" ht="15" customHeight="1" s="74">
      <c r="A39" s="17" t="inlineStr">
        <is>
          <t>Total Assets</t>
        </is>
      </c>
      <c r="B39" s="382" t="n">
        <v>7370</v>
      </c>
      <c r="C39" s="382" t="n">
        <v>9841</v>
      </c>
      <c r="D39" s="382" t="n">
        <v>11241</v>
      </c>
      <c r="E39" s="382" t="n">
        <v>13292</v>
      </c>
      <c r="F39" s="382" t="n">
        <v>17315</v>
      </c>
      <c r="G39" s="382" t="n">
        <v>28791</v>
      </c>
      <c r="H39" s="382" t="n">
        <v>44187</v>
      </c>
      <c r="I39" s="382" t="n">
        <v>41182</v>
      </c>
      <c r="J39" s="382" t="n">
        <v>65728</v>
      </c>
      <c r="K39" s="382" t="n">
        <v>111601</v>
      </c>
      <c r="L39" s="382" t="n">
        <v>206803</v>
      </c>
      <c r="N39" s="383" t="n">
        <v>77072</v>
      </c>
      <c r="O39" s="383" t="n">
        <v>85227</v>
      </c>
      <c r="P39" s="383" t="n">
        <v>96013</v>
      </c>
      <c r="Q39" s="383" t="n">
        <v>111601</v>
      </c>
      <c r="R39" s="383" t="n">
        <v>125254</v>
      </c>
      <c r="S39" s="383" t="n">
        <v>140740</v>
      </c>
      <c r="T39" s="383" t="n">
        <v>161148</v>
      </c>
      <c r="U39" s="383" t="n">
        <v>206803</v>
      </c>
      <c r="V39" s="384" t="n">
        <v>259474</v>
      </c>
      <c r="W39" s="460" t="n"/>
      <c r="X39" s="460" t="n"/>
      <c r="Y39" s="460" t="n"/>
    </row>
    <row r="40" ht="15" customHeight="1" s="74">
      <c r="A40" s="15" t="inlineStr">
        <is>
          <t>Total Liabilities</t>
        </is>
      </c>
      <c r="B40" s="388" t="n">
        <v>2901</v>
      </c>
      <c r="C40" s="388" t="n">
        <v>4048</v>
      </c>
      <c r="D40" s="388" t="n">
        <v>3770</v>
      </c>
      <c r="E40" s="388" t="n">
        <v>3950</v>
      </c>
      <c r="F40" s="388" t="n">
        <v>5111</v>
      </c>
      <c r="G40" s="388" t="n">
        <v>11898</v>
      </c>
      <c r="H40" s="388" t="n">
        <v>17575</v>
      </c>
      <c r="I40" s="388" t="n">
        <v>19081</v>
      </c>
      <c r="J40" s="388" t="n">
        <v>22750</v>
      </c>
      <c r="K40" s="388" t="n">
        <v>32274</v>
      </c>
      <c r="L40" s="388" t="n">
        <v>49510</v>
      </c>
      <c r="N40" s="389" t="n">
        <v>27930</v>
      </c>
      <c r="O40" s="389" t="n">
        <v>27070</v>
      </c>
      <c r="P40" s="389" t="n">
        <v>30114</v>
      </c>
      <c r="Q40" s="389" t="n">
        <v>32274</v>
      </c>
      <c r="R40" s="389" t="n">
        <v>41411</v>
      </c>
      <c r="S40" s="389" t="n">
        <v>40609</v>
      </c>
      <c r="T40" s="389" t="n">
        <v>42251</v>
      </c>
      <c r="U40" s="389" t="n">
        <v>49510</v>
      </c>
      <c r="V40" s="390" t="n">
        <v>64000</v>
      </c>
      <c r="W40" s="460" t="n"/>
      <c r="X40" s="460" t="n"/>
      <c r="Y40" s="460" t="n"/>
    </row>
    <row r="41" ht="15" customHeight="1" s="74">
      <c r="A41" s="17" t="inlineStr">
        <is>
          <t>Shareholders' Equity</t>
        </is>
      </c>
      <c r="B41" s="382" t="n">
        <v>4469</v>
      </c>
      <c r="C41" s="382" t="n">
        <v>5762</v>
      </c>
      <c r="D41" s="382" t="n">
        <v>7471</v>
      </c>
      <c r="E41" s="382" t="n">
        <v>9342</v>
      </c>
      <c r="F41" s="382" t="n">
        <v>12204</v>
      </c>
      <c r="G41" s="382" t="n">
        <v>16893</v>
      </c>
      <c r="H41" s="382" t="n">
        <v>26612</v>
      </c>
      <c r="I41" s="382" t="n">
        <v>22101</v>
      </c>
      <c r="J41" s="382" t="n">
        <v>42978</v>
      </c>
      <c r="K41" s="382" t="n">
        <v>79327</v>
      </c>
      <c r="L41" s="382" t="n">
        <v>157293</v>
      </c>
      <c r="N41" s="383" t="n">
        <v>49142</v>
      </c>
      <c r="O41" s="383" t="n">
        <v>58157</v>
      </c>
      <c r="P41" s="383" t="n">
        <v>65899</v>
      </c>
      <c r="Q41" s="383" t="n">
        <v>79327</v>
      </c>
      <c r="R41" s="383" t="n">
        <v>83843</v>
      </c>
      <c r="S41" s="383" t="n">
        <v>100131</v>
      </c>
      <c r="T41" s="383" t="n">
        <v>118897</v>
      </c>
      <c r="U41" s="383" t="n">
        <v>157293</v>
      </c>
      <c r="V41" s="384" t="n">
        <v>195474</v>
      </c>
      <c r="W41" s="460" t="n"/>
      <c r="X41" s="460" t="n"/>
      <c r="Y41" s="460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/>
      <c r="P42" s="380" t="n"/>
      <c r="Q42" s="380" t="n"/>
      <c r="R42" s="380" t="n">
        <v>0</v>
      </c>
      <c r="S42" s="380" t="n">
        <v>0</v>
      </c>
      <c r="T42" s="380" t="n"/>
      <c r="U42" s="380" t="n"/>
      <c r="V42" s="381" t="n">
        <v>0</v>
      </c>
      <c r="W42" s="460" t="n"/>
      <c r="X42" s="460" t="n"/>
      <c r="Y42" s="460" t="n"/>
    </row>
    <row r="43" ht="15" customHeight="1" s="74">
      <c r="A43" s="17" t="inlineStr">
        <is>
          <t>Intangible Assets &amp; Goodwill</t>
        </is>
      </c>
      <c r="B43" s="382" t="n"/>
      <c r="C43" s="382" t="n">
        <v>618</v>
      </c>
      <c r="D43" s="382" t="n">
        <v>618</v>
      </c>
      <c r="E43" s="382" t="n">
        <v>618</v>
      </c>
      <c r="F43" s="382" t="n">
        <v>618</v>
      </c>
      <c r="G43" s="382" t="n">
        <v>4193</v>
      </c>
      <c r="H43" s="382" t="n">
        <v>4349</v>
      </c>
      <c r="I43" s="382" t="n">
        <v>4372</v>
      </c>
      <c r="J43" s="382" t="n">
        <v>4430</v>
      </c>
      <c r="K43" s="382" t="n">
        <v>5188</v>
      </c>
      <c r="L43" s="382" t="n">
        <v>20832</v>
      </c>
      <c r="N43" s="383" t="n">
        <v>4453</v>
      </c>
      <c r="O43" s="383" t="n">
        <v>4622</v>
      </c>
      <c r="P43" s="383" t="n">
        <v>4724</v>
      </c>
      <c r="Q43" s="383" t="n">
        <v>5188</v>
      </c>
      <c r="R43" s="383" t="n">
        <v>5498</v>
      </c>
      <c r="S43" s="383" t="n">
        <v>5755</v>
      </c>
      <c r="T43" s="383" t="n">
        <v>6261</v>
      </c>
      <c r="U43" s="383" t="n">
        <v>20832</v>
      </c>
      <c r="V43" s="384" t="n">
        <v>20894</v>
      </c>
      <c r="W43" s="460" t="n"/>
      <c r="X43" s="460" t="n"/>
      <c r="Y43" s="460" t="n"/>
    </row>
    <row r="44" ht="15" customHeight="1" s="74">
      <c r="A44" s="15" t="inlineStr">
        <is>
          <t>PP&amp;E</t>
        </is>
      </c>
      <c r="B44" s="379" t="n"/>
      <c r="C44" s="379" t="n">
        <v>521</v>
      </c>
      <c r="D44" s="379" t="n">
        <v>997</v>
      </c>
      <c r="E44" s="379" t="n">
        <v>1404</v>
      </c>
      <c r="F44" s="379" t="n">
        <v>1674</v>
      </c>
      <c r="G44" s="379" t="n">
        <v>2149</v>
      </c>
      <c r="H44" s="379" t="n">
        <v>2778</v>
      </c>
      <c r="I44" s="379" t="n">
        <v>3807</v>
      </c>
      <c r="J44" s="379" t="n">
        <v>3914</v>
      </c>
      <c r="K44" s="379" t="n">
        <v>6283</v>
      </c>
      <c r="L44" s="379" t="n">
        <v>10383</v>
      </c>
      <c r="N44" s="380" t="n">
        <v>4006</v>
      </c>
      <c r="O44" s="380" t="n">
        <v>4885</v>
      </c>
      <c r="P44" s="380" t="n">
        <v>5343</v>
      </c>
      <c r="Q44" s="380" t="n">
        <v>6283</v>
      </c>
      <c r="R44" s="380" t="n">
        <v>7136</v>
      </c>
      <c r="S44" s="380" t="n">
        <v>9141</v>
      </c>
      <c r="T44" s="380" t="n">
        <v>9780</v>
      </c>
      <c r="U44" s="380" t="n">
        <v>10383</v>
      </c>
      <c r="V44" s="381" t="n">
        <v>12403</v>
      </c>
      <c r="W44" s="381" t="n"/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>
        <v>826</v>
      </c>
      <c r="D45" s="382" t="n">
        <v>1265</v>
      </c>
      <c r="E45" s="382" t="n">
        <v>1424</v>
      </c>
      <c r="F45" s="382" t="n">
        <v>1657</v>
      </c>
      <c r="G45" s="382" t="n">
        <v>2429</v>
      </c>
      <c r="H45" s="382" t="n">
        <v>4650</v>
      </c>
      <c r="I45" s="382" t="n">
        <v>3827</v>
      </c>
      <c r="J45" s="382" t="n">
        <v>9999</v>
      </c>
      <c r="K45" s="382" t="n">
        <v>23065</v>
      </c>
      <c r="L45" s="382" t="n">
        <v>38466</v>
      </c>
      <c r="N45" s="383" t="n">
        <v>12365</v>
      </c>
      <c r="O45" s="383" t="n">
        <v>14132</v>
      </c>
      <c r="P45" s="383" t="n">
        <v>17693</v>
      </c>
      <c r="Q45" s="383" t="n">
        <v>23065</v>
      </c>
      <c r="R45" s="383" t="n">
        <v>22132</v>
      </c>
      <c r="S45" s="383" t="n">
        <v>27808</v>
      </c>
      <c r="T45" s="383" t="n">
        <v>33391</v>
      </c>
      <c r="U45" s="383" t="n">
        <v>38466</v>
      </c>
      <c r="V45" s="384" t="n">
        <v>40710</v>
      </c>
      <c r="W45" s="460" t="n"/>
      <c r="X45" s="460" t="n"/>
      <c r="Y45" s="460" t="n"/>
    </row>
    <row r="46" ht="15" customHeight="1" s="74">
      <c r="A46" s="15" t="inlineStr">
        <is>
          <t>Payables</t>
        </is>
      </c>
      <c r="B46" s="379" t="n"/>
      <c r="C46" s="379" t="n">
        <v>485</v>
      </c>
      <c r="D46" s="379" t="n">
        <v>596</v>
      </c>
      <c r="E46" s="379" t="n">
        <v>511</v>
      </c>
      <c r="F46" s="379" t="n">
        <v>687</v>
      </c>
      <c r="G46" s="379" t="n">
        <v>1201</v>
      </c>
      <c r="H46" s="379" t="n">
        <v>1783</v>
      </c>
      <c r="I46" s="379" t="n">
        <v>1193</v>
      </c>
      <c r="J46" s="379" t="n">
        <v>2699</v>
      </c>
      <c r="K46" s="379" t="n">
        <v>6310</v>
      </c>
      <c r="L46" s="379" t="n">
        <v>9812</v>
      </c>
      <c r="N46" s="380" t="n">
        <v>2715</v>
      </c>
      <c r="O46" s="380" t="n">
        <v>3680</v>
      </c>
      <c r="P46" s="380" t="n">
        <v>5353</v>
      </c>
      <c r="Q46" s="380" t="n">
        <v>6310</v>
      </c>
      <c r="R46" s="380" t="n">
        <v>7331</v>
      </c>
      <c r="S46" s="380" t="n">
        <v>9064</v>
      </c>
      <c r="T46" s="380" t="n">
        <v>8624</v>
      </c>
      <c r="U46" s="380" t="n">
        <v>9812</v>
      </c>
      <c r="V46" s="381" t="n">
        <v>13097</v>
      </c>
      <c r="W46" s="460" t="n"/>
      <c r="X46" s="460" t="n"/>
      <c r="Y46" s="460" t="n"/>
    </row>
    <row r="47" ht="15" customHeight="1" s="74">
      <c r="A47" s="17" t="inlineStr">
        <is>
          <t>Inventory</t>
        </is>
      </c>
      <c r="B47" s="382" t="n"/>
      <c r="C47" s="382" t="n">
        <v>794</v>
      </c>
      <c r="D47" s="382" t="n">
        <v>796</v>
      </c>
      <c r="E47" s="382" t="n">
        <v>1575</v>
      </c>
      <c r="F47" s="382" t="n">
        <v>979</v>
      </c>
      <c r="G47" s="382" t="n">
        <v>1826</v>
      </c>
      <c r="H47" s="382" t="n">
        <v>2605</v>
      </c>
      <c r="I47" s="382" t="n">
        <v>5159</v>
      </c>
      <c r="J47" s="382" t="n">
        <v>5282</v>
      </c>
      <c r="K47" s="382" t="n">
        <v>10080</v>
      </c>
      <c r="L47" s="382" t="n">
        <v>21403</v>
      </c>
      <c r="N47" s="383" t="n">
        <v>5864</v>
      </c>
      <c r="O47" s="383" t="n">
        <v>6675</v>
      </c>
      <c r="P47" s="383" t="n">
        <v>7654</v>
      </c>
      <c r="Q47" s="383" t="n">
        <v>10080</v>
      </c>
      <c r="R47" s="383" t="n">
        <v>11333</v>
      </c>
      <c r="S47" s="383" t="n">
        <v>14962</v>
      </c>
      <c r="T47" s="383" t="n">
        <v>19784</v>
      </c>
      <c r="U47" s="383" t="n">
        <v>21403</v>
      </c>
      <c r="V47" s="384" t="n">
        <v>25797</v>
      </c>
      <c r="W47" s="460" t="n"/>
      <c r="X47" s="460" t="n"/>
      <c r="Y47" s="460" t="n"/>
    </row>
    <row r="48" ht="15" customHeight="1" s="74">
      <c r="A48" s="10" t="inlineStr">
        <is>
          <t>Retained Earnings</t>
        </is>
      </c>
      <c r="B48" s="432" t="n">
        <v>4350</v>
      </c>
      <c r="C48" s="432" t="n">
        <v>6108</v>
      </c>
      <c r="D48" s="432" t="n">
        <v>8787</v>
      </c>
      <c r="E48" s="432" t="n">
        <v>12565</v>
      </c>
      <c r="F48" s="432" t="n">
        <v>14971</v>
      </c>
      <c r="G48" s="432" t="n">
        <v>18908</v>
      </c>
      <c r="H48" s="432" t="n">
        <v>16235</v>
      </c>
      <c r="I48" s="432" t="n">
        <v>10171</v>
      </c>
      <c r="J48" s="432" t="n">
        <v>29817</v>
      </c>
      <c r="K48" s="432" t="n">
        <v>68038</v>
      </c>
      <c r="L48" s="432" t="n">
        <v>146973</v>
      </c>
      <c r="N48" s="433" t="n">
        <v>36598</v>
      </c>
      <c r="O48" s="433" t="n">
        <v>45961</v>
      </c>
      <c r="P48" s="433" t="n">
        <v>53950</v>
      </c>
      <c r="Q48" s="433" t="n">
        <v>68038</v>
      </c>
      <c r="R48" s="433" t="n">
        <v>72158</v>
      </c>
      <c r="S48" s="433" t="n">
        <v>88737</v>
      </c>
      <c r="T48" s="433" t="n">
        <v>107908</v>
      </c>
      <c r="U48" s="433" t="n">
        <v>146973</v>
      </c>
      <c r="V48" s="433" t="n">
        <v>185038</v>
      </c>
      <c r="W48" s="462" t="n"/>
      <c r="X48" s="462" t="n"/>
      <c r="Y48" s="462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1175</v>
      </c>
      <c r="C51" s="382" t="n">
        <v>1672</v>
      </c>
      <c r="D51" s="382" t="n">
        <v>3502</v>
      </c>
      <c r="E51" s="382" t="n">
        <v>3743</v>
      </c>
      <c r="F51" s="382" t="n">
        <v>4761</v>
      </c>
      <c r="G51" s="382" t="n">
        <v>5822</v>
      </c>
      <c r="H51" s="382" t="n">
        <v>9108</v>
      </c>
      <c r="I51" s="382" t="n">
        <v>5641</v>
      </c>
      <c r="J51" s="382" t="n">
        <v>28090</v>
      </c>
      <c r="K51" s="382" t="n">
        <v>64089</v>
      </c>
      <c r="L51" s="382" t="n">
        <v>102718</v>
      </c>
      <c r="N51" s="383" t="n"/>
      <c r="O51" s="383" t="n"/>
      <c r="P51" s="383" t="n">
        <v>17627</v>
      </c>
      <c r="Q51" s="383" t="n">
        <v>16629</v>
      </c>
      <c r="R51" s="383" t="n">
        <v>27414</v>
      </c>
      <c r="S51" s="383" t="n">
        <v>15365</v>
      </c>
      <c r="T51" s="383" t="n">
        <v>23751</v>
      </c>
      <c r="U51" s="383" t="n">
        <v>36188</v>
      </c>
      <c r="V51" s="384" t="n">
        <v>50344</v>
      </c>
      <c r="W51" s="460" t="n"/>
      <c r="X51" s="460" t="n"/>
      <c r="Y51" s="460" t="n"/>
    </row>
    <row r="52" ht="15" customHeight="1" s="74">
      <c r="A52" s="15" t="inlineStr">
        <is>
          <t>Capital Expenditures</t>
        </is>
      </c>
      <c r="B52" s="379" t="n">
        <v>86</v>
      </c>
      <c r="C52" s="379" t="n">
        <v>176</v>
      </c>
      <c r="D52" s="379" t="n">
        <v>593</v>
      </c>
      <c r="E52" s="379" t="n">
        <v>600</v>
      </c>
      <c r="F52" s="379" t="n">
        <v>489</v>
      </c>
      <c r="G52" s="379" t="n">
        <v>1128</v>
      </c>
      <c r="H52" s="379" t="n">
        <v>976</v>
      </c>
      <c r="I52" s="379" t="n">
        <v>1833</v>
      </c>
      <c r="J52" s="379" t="n">
        <v>1069</v>
      </c>
      <c r="K52" s="379" t="n">
        <v>3236</v>
      </c>
      <c r="L52" s="379" t="n">
        <v>6042</v>
      </c>
      <c r="N52" s="380" t="n"/>
      <c r="O52" s="380" t="n"/>
      <c r="P52" s="380" t="n">
        <v>813</v>
      </c>
      <c r="Q52" s="380" t="n">
        <v>1077</v>
      </c>
      <c r="R52" s="380" t="n">
        <v>1227</v>
      </c>
      <c r="S52" s="380" t="n">
        <v>1895</v>
      </c>
      <c r="T52" s="380" t="n">
        <v>1636</v>
      </c>
      <c r="U52" s="380" t="n">
        <v>1284</v>
      </c>
      <c r="V52" s="381" t="n">
        <v>1757</v>
      </c>
      <c r="W52" s="460" t="n"/>
      <c r="X52" s="460" t="n"/>
      <c r="Y52" s="460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461">
        <f>IFERROR(IF(OR(NOT(ISNUMBER(Data!W51)),NOT(ISNUMBER(Data!W52))),"-",Data!W51-ABS(Data!W52)),"-")</f>
        <v/>
      </c>
      <c r="X53" s="461">
        <f>IFERROR(IF(OR(NOT(ISNUMBER(Data!X51)),NOT(ISNUMBER(Data!X52))),"-",Data!X51-ABS(Data!X52)),"-")</f>
        <v/>
      </c>
      <c r="Y53" s="461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204</v>
      </c>
      <c r="C54" s="379" t="n">
        <v>247</v>
      </c>
      <c r="D54" s="379" t="n">
        <v>391</v>
      </c>
      <c r="E54" s="379" t="n">
        <v>557</v>
      </c>
      <c r="F54" s="379" t="n">
        <v>844</v>
      </c>
      <c r="G54" s="379" t="n">
        <v>1397</v>
      </c>
      <c r="H54" s="379" t="n">
        <v>2004</v>
      </c>
      <c r="I54" s="379" t="n">
        <v>2709</v>
      </c>
      <c r="J54" s="379" t="n">
        <v>3549</v>
      </c>
      <c r="K54" s="379" t="n">
        <v>4737</v>
      </c>
      <c r="L54" s="379" t="n">
        <v>6386</v>
      </c>
      <c r="N54" s="380" t="n"/>
      <c r="O54" s="380" t="n"/>
      <c r="P54" s="380" t="n">
        <v>1252</v>
      </c>
      <c r="Q54" s="380" t="n">
        <v>1321</v>
      </c>
      <c r="R54" s="380" t="n">
        <v>1474</v>
      </c>
      <c r="S54" s="380" t="n">
        <v>1625</v>
      </c>
      <c r="T54" s="380" t="n">
        <v>1654</v>
      </c>
      <c r="U54" s="380" t="n">
        <v>1633</v>
      </c>
      <c r="V54" s="381" t="n">
        <v>1928</v>
      </c>
      <c r="W54" s="460" t="n"/>
      <c r="X54" s="460" t="n"/>
      <c r="Y54" s="460" t="n"/>
    </row>
    <row r="55" ht="15" customHeight="1" s="74">
      <c r="A55" s="17" t="inlineStr">
        <is>
          <t>Dividends Paid</t>
        </is>
      </c>
      <c r="B55" s="382" t="n">
        <v>213</v>
      </c>
      <c r="C55" s="382" t="n">
        <v>261</v>
      </c>
      <c r="D55" s="382" t="n">
        <v>341</v>
      </c>
      <c r="E55" s="382" t="n">
        <v>371</v>
      </c>
      <c r="F55" s="382" t="n">
        <v>390</v>
      </c>
      <c r="G55" s="382" t="n">
        <v>395</v>
      </c>
      <c r="H55" s="382" t="n">
        <v>399</v>
      </c>
      <c r="I55" s="382" t="n">
        <v>398</v>
      </c>
      <c r="J55" s="382" t="n">
        <v>395</v>
      </c>
      <c r="K55" s="382" t="n">
        <v>834</v>
      </c>
      <c r="L55" s="382" t="n">
        <v>974</v>
      </c>
      <c r="N55" s="383" t="n"/>
      <c r="O55" s="383" t="n"/>
      <c r="P55" s="383" t="n">
        <v>245</v>
      </c>
      <c r="Q55" s="383" t="n">
        <v>245</v>
      </c>
      <c r="R55" s="383" t="n">
        <v>244</v>
      </c>
      <c r="S55" s="383" t="n">
        <v>244</v>
      </c>
      <c r="T55" s="383" t="n">
        <v>244</v>
      </c>
      <c r="U55" s="383" t="n">
        <v>242</v>
      </c>
      <c r="V55" s="384" t="n">
        <v>243</v>
      </c>
      <c r="W55" s="460" t="n"/>
      <c r="X55" s="460" t="n"/>
      <c r="Y55" s="460" t="n"/>
    </row>
    <row r="56" ht="15" customHeight="1" s="74">
      <c r="A56" s="15" t="inlineStr">
        <is>
          <t>Share Repurchases</t>
        </is>
      </c>
      <c r="B56" s="379" t="n">
        <v>587</v>
      </c>
      <c r="C56" s="379" t="n">
        <v>739</v>
      </c>
      <c r="D56" s="379" t="n">
        <v>909</v>
      </c>
      <c r="E56" s="379" t="n">
        <v>1579</v>
      </c>
      <c r="F56" s="379" t="n"/>
      <c r="G56" s="379" t="n"/>
      <c r="H56" s="379" t="n"/>
      <c r="I56" s="379" t="n">
        <v>10039</v>
      </c>
      <c r="J56" s="379" t="n">
        <v>9533</v>
      </c>
      <c r="K56" s="379" t="n">
        <v>33706</v>
      </c>
      <c r="L56" s="379" t="n">
        <v>40086</v>
      </c>
      <c r="N56" s="380" t="n"/>
      <c r="O56" s="380" t="n"/>
      <c r="P56" s="380" t="n">
        <v>10997</v>
      </c>
      <c r="Q56" s="380" t="n">
        <v>7811</v>
      </c>
      <c r="R56" s="380" t="n">
        <v>14095</v>
      </c>
      <c r="S56" s="380" t="n">
        <v>9720</v>
      </c>
      <c r="T56" s="380" t="n">
        <v>12456</v>
      </c>
      <c r="U56" s="380" t="n">
        <v>3815</v>
      </c>
      <c r="V56" s="381" t="n">
        <v>19312</v>
      </c>
      <c r="W56" s="460" t="n"/>
      <c r="X56" s="460" t="n"/>
      <c r="Y56" s="460" t="n"/>
    </row>
    <row r="57">
      <c r="A57" s="2" t="inlineStr">
        <is>
          <t>Historical Share Price (Period-End)</t>
        </is>
      </c>
      <c r="B57" s="2" t="n">
        <v>29.29</v>
      </c>
      <c r="C57" s="2" t="n">
        <v>109.18</v>
      </c>
      <c r="D57" s="2" t="n">
        <v>245.8</v>
      </c>
      <c r="E57" s="2" t="n">
        <v>143.75</v>
      </c>
      <c r="F57" s="2" t="n">
        <v>236.43</v>
      </c>
      <c r="G57" s="2" t="n">
        <v>519.59</v>
      </c>
      <c r="H57" s="2" t="n">
        <v>244.86</v>
      </c>
      <c r="I57" s="2" t="n">
        <v>195.37</v>
      </c>
      <c r="J57" s="2" t="n">
        <v>615.27</v>
      </c>
      <c r="K57" s="2" t="n">
        <v>120.07</v>
      </c>
      <c r="L57" s="2" t="n">
        <v>191.13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463" t="n"/>
      <c r="X57" s="463" t="n"/>
      <c r="Y57" s="463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Compute &amp; Networking</t>
        </is>
      </c>
      <c r="B61" s="425" t="n"/>
      <c r="C61" s="425" t="n"/>
      <c r="D61" s="425" t="n"/>
      <c r="E61" s="425" t="n">
        <v>3557</v>
      </c>
      <c r="F61" s="425" t="n">
        <v>3279</v>
      </c>
      <c r="G61" s="425" t="n">
        <v>6841</v>
      </c>
      <c r="H61" s="425" t="n">
        <v>11046</v>
      </c>
      <c r="I61" s="425" t="n">
        <v>15068</v>
      </c>
      <c r="J61" s="425" t="n">
        <v>47405</v>
      </c>
      <c r="K61" s="425" t="n">
        <v>116193</v>
      </c>
      <c r="L61" s="425" t="n">
        <v>193479</v>
      </c>
      <c r="M61" s="261" t="n"/>
      <c r="N61" s="395" t="n">
        <v>22675</v>
      </c>
      <c r="O61" s="395" t="n">
        <v>26446</v>
      </c>
      <c r="P61" s="395" t="n">
        <v>31036</v>
      </c>
      <c r="Q61" s="395" t="n">
        <v>36036</v>
      </c>
      <c r="R61" s="395" t="n">
        <v>39589</v>
      </c>
      <c r="S61" s="395" t="n">
        <v>41331</v>
      </c>
      <c r="T61" s="395" t="n">
        <v>50908</v>
      </c>
      <c r="U61" s="395" t="n">
        <v>61651</v>
      </c>
      <c r="V61" s="395" t="n">
        <v>74550</v>
      </c>
      <c r="W61" s="395" t="n"/>
      <c r="X61" s="395" t="n"/>
      <c r="Y61" s="395" t="n"/>
    </row>
    <row r="62">
      <c r="A62" s="263" t="inlineStr">
        <is>
          <t>Graphics</t>
        </is>
      </c>
      <c r="B62" s="426" t="n"/>
      <c r="C62" s="426" t="n"/>
      <c r="D62" s="426" t="n"/>
      <c r="E62" s="426" t="n">
        <v>8159</v>
      </c>
      <c r="F62" s="426" t="n">
        <v>7639</v>
      </c>
      <c r="G62" s="426" t="n">
        <v>9834</v>
      </c>
      <c r="H62" s="426" t="n">
        <v>15868</v>
      </c>
      <c r="I62" s="426" t="n">
        <v>11906</v>
      </c>
      <c r="J62" s="426" t="n">
        <v>13517</v>
      </c>
      <c r="K62" s="426" t="n">
        <v>14304</v>
      </c>
      <c r="L62" s="426" t="n">
        <v>22459</v>
      </c>
      <c r="M62" s="261" t="n"/>
      <c r="N62" s="395" t="n">
        <v>3369</v>
      </c>
      <c r="O62" s="395" t="n">
        <v>3594</v>
      </c>
      <c r="P62" s="395" t="n">
        <v>4046</v>
      </c>
      <c r="Q62" s="395" t="n">
        <v>3295</v>
      </c>
      <c r="R62" s="395" t="n">
        <v>4473</v>
      </c>
      <c r="S62" s="395" t="n">
        <v>5412</v>
      </c>
      <c r="T62" s="395" t="n">
        <v>6098</v>
      </c>
      <c r="U62" s="395" t="n">
        <v>6476</v>
      </c>
      <c r="V62" s="395" t="n">
        <v>7065</v>
      </c>
      <c r="W62" s="395" t="n"/>
      <c r="X62" s="395" t="n"/>
      <c r="Y62" s="395" t="n"/>
    </row>
    <row r="63">
      <c r="A63" s="259" t="inlineStr">
        <is>
          <t>GPU</t>
        </is>
      </c>
      <c r="B63" s="425" t="n">
        <v>4187</v>
      </c>
      <c r="C63" s="425" t="n">
        <v>5822</v>
      </c>
      <c r="D63" s="425" t="n">
        <v>8137</v>
      </c>
      <c r="E63" s="425" t="n">
        <v>10175</v>
      </c>
      <c r="F63" s="425" t="n">
        <v>9465</v>
      </c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Tegra Processor</t>
        </is>
      </c>
      <c r="B64" s="426" t="n">
        <v>559</v>
      </c>
      <c r="C64" s="426" t="n">
        <v>824</v>
      </c>
      <c r="D64" s="426" t="n">
        <v>1534</v>
      </c>
      <c r="E64" s="426" t="n">
        <v>1541</v>
      </c>
      <c r="F64" s="426" t="n">
        <v>1453</v>
      </c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All Other</t>
        </is>
      </c>
      <c r="B65" s="425" t="n">
        <v>264</v>
      </c>
      <c r="C65" s="425" t="n">
        <v>264</v>
      </c>
      <c r="D65" s="425" t="n">
        <v>43</v>
      </c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>
        <v>0</v>
      </c>
      <c r="O65" s="395" t="n">
        <v>0</v>
      </c>
      <c r="P65" s="395" t="n">
        <v>0</v>
      </c>
      <c r="Q65" s="395" t="n"/>
      <c r="R65" s="395" t="n">
        <v>0</v>
      </c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Compute &amp; Networking</t>
        </is>
      </c>
      <c r="B71" s="425" t="n"/>
      <c r="C71" s="425" t="n"/>
      <c r="D71" s="425" t="n"/>
      <c r="E71" s="425" t="n">
        <v>1251</v>
      </c>
      <c r="F71" s="425" t="n">
        <v>751</v>
      </c>
      <c r="G71" s="425" t="n">
        <v>2548</v>
      </c>
      <c r="H71" s="425" t="n">
        <v>4598</v>
      </c>
      <c r="I71" s="425" t="n">
        <v>5083</v>
      </c>
      <c r="J71" s="425" t="n">
        <v>32016</v>
      </c>
      <c r="K71" s="425" t="n">
        <v>82875</v>
      </c>
      <c r="L71" s="425" t="n">
        <v>130141</v>
      </c>
      <c r="M71" s="261" t="n"/>
      <c r="N71" s="395" t="n">
        <v>17047</v>
      </c>
      <c r="O71" s="395" t="n">
        <v>18848</v>
      </c>
      <c r="P71" s="395" t="n">
        <v>22081</v>
      </c>
      <c r="Q71" s="395" t="n">
        <v>24899</v>
      </c>
      <c r="R71" s="395" t="n">
        <v>22054</v>
      </c>
      <c r="S71" s="395" t="n">
        <v>28363</v>
      </c>
      <c r="T71" s="395" t="n">
        <v>35721</v>
      </c>
      <c r="U71" s="395" t="n">
        <v>44003</v>
      </c>
      <c r="V71" s="395" t="n">
        <v>53335</v>
      </c>
      <c r="W71" s="395" t="n"/>
      <c r="X71" s="395" t="n"/>
      <c r="Y71" s="395" t="n"/>
    </row>
    <row r="72">
      <c r="A72" s="263" t="inlineStr">
        <is>
          <t>Graphics</t>
        </is>
      </c>
      <c r="B72" s="426" t="n"/>
      <c r="C72" s="426" t="n"/>
      <c r="D72" s="426" t="n"/>
      <c r="E72" s="426" t="n">
        <v>3417</v>
      </c>
      <c r="F72" s="426" t="n">
        <v>3267</v>
      </c>
      <c r="G72" s="426" t="n">
        <v>4612</v>
      </c>
      <c r="H72" s="426" t="n">
        <v>8492</v>
      </c>
      <c r="I72" s="426" t="n">
        <v>4552</v>
      </c>
      <c r="J72" s="426" t="n">
        <v>5846</v>
      </c>
      <c r="K72" s="426" t="n">
        <v>5085</v>
      </c>
      <c r="L72" s="426" t="n">
        <v>9156</v>
      </c>
      <c r="M72" s="261" t="n"/>
      <c r="N72" s="395" t="n">
        <v>1241</v>
      </c>
      <c r="O72" s="395" t="n">
        <v>1369</v>
      </c>
      <c r="P72" s="395" t="n">
        <v>1502</v>
      </c>
      <c r="Q72" s="395" t="n">
        <v>973</v>
      </c>
      <c r="R72" s="395" t="n">
        <v>1640</v>
      </c>
      <c r="S72" s="395" t="n">
        <v>2242</v>
      </c>
      <c r="T72" s="395" t="n">
        <v>2546</v>
      </c>
      <c r="U72" s="395" t="n">
        <v>2728</v>
      </c>
      <c r="V72" s="395" t="n">
        <v>2941</v>
      </c>
      <c r="W72" s="395" t="n"/>
      <c r="X72" s="395" t="n"/>
      <c r="Y72" s="395" t="n"/>
    </row>
    <row r="73">
      <c r="A73" s="259" t="inlineStr">
        <is>
          <t>GPU</t>
        </is>
      </c>
      <c r="B73" s="425" t="n">
        <v>1344</v>
      </c>
      <c r="C73" s="425" t="n">
        <v>2180</v>
      </c>
      <c r="D73" s="425" t="n">
        <v>3507</v>
      </c>
      <c r="E73" s="425" t="n">
        <v>4443</v>
      </c>
      <c r="F73" s="425" t="n">
        <v>3806</v>
      </c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Tegra Processor</t>
        </is>
      </c>
      <c r="B74" s="426" t="n">
        <v>-239</v>
      </c>
      <c r="C74" s="426" t="n">
        <v>-9</v>
      </c>
      <c r="D74" s="426" t="n">
        <v>303</v>
      </c>
      <c r="E74" s="426" t="n">
        <v>241</v>
      </c>
      <c r="F74" s="426" t="n">
        <v>196</v>
      </c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All Other</t>
        </is>
      </c>
      <c r="B75" s="425" t="n">
        <v>-358</v>
      </c>
      <c r="C75" s="425" t="n">
        <v>-237</v>
      </c>
      <c r="D75" s="425" t="n">
        <v>-600</v>
      </c>
      <c r="E75" s="425" t="n">
        <v>-880</v>
      </c>
      <c r="F75" s="425" t="n">
        <v>-1156</v>
      </c>
      <c r="G75" s="425" t="n">
        <v>-2628</v>
      </c>
      <c r="H75" s="425" t="n">
        <v>-3049</v>
      </c>
      <c r="I75" s="425" t="n">
        <v>-5411</v>
      </c>
      <c r="J75" s="425" t="n">
        <v>-4890</v>
      </c>
      <c r="K75" s="425" t="n">
        <v>-6507</v>
      </c>
      <c r="L75" s="425" t="n"/>
      <c r="M75" s="261" t="n"/>
      <c r="N75" s="395" t="n">
        <v>-1379</v>
      </c>
      <c r="O75" s="395" t="n">
        <v>-1575</v>
      </c>
      <c r="P75" s="395" t="n">
        <v>-1714</v>
      </c>
      <c r="Q75" s="395" t="n">
        <v>-1839</v>
      </c>
      <c r="R75" s="395" t="n">
        <v>-2056</v>
      </c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4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0.0475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0.0445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2.21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0.0306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0.16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0.5</v>
      </c>
      <c r="C20" s="401" t="n">
        <v>0.28</v>
      </c>
      <c r="D20" s="401" t="n">
        <v>0.16</v>
      </c>
      <c r="E20" s="401" t="n">
        <v>0.09</v>
      </c>
      <c r="F20" s="401" t="n">
        <v>0.05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0.63</v>
      </c>
      <c r="C21" s="402" t="n">
        <v>0.63</v>
      </c>
      <c r="D21" s="402" t="n">
        <v>0.62</v>
      </c>
      <c r="E21" s="402" t="n">
        <v>0.61</v>
      </c>
      <c r="F21" s="402" t="n">
        <v>0.6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0.014</v>
      </c>
      <c r="C22" s="401" t="n">
        <v>0.015</v>
      </c>
      <c r="D22" s="401" t="n">
        <v>0.015</v>
      </c>
      <c r="E22" s="401" t="n">
        <v>0.016</v>
      </c>
      <c r="F22" s="401" t="n">
        <v>0.016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0.032</v>
      </c>
      <c r="C23" s="402" t="n">
        <v>0.032</v>
      </c>
      <c r="D23" s="402" t="n">
        <v>0.032</v>
      </c>
      <c r="E23" s="402" t="n">
        <v>0.03</v>
      </c>
      <c r="F23" s="402" t="n">
        <v>0.03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0.15</v>
      </c>
      <c r="C24" s="401" t="n">
        <v>0.13</v>
      </c>
      <c r="D24" s="401" t="n">
        <v>0.11</v>
      </c>
      <c r="E24" s="401" t="n">
        <v>0.1</v>
      </c>
      <c r="F24" s="401" t="n">
        <v>0.1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0.16</v>
      </c>
      <c r="C25" s="402" t="n">
        <v>0.16</v>
      </c>
      <c r="D25" s="402" t="n">
        <v>0.165</v>
      </c>
      <c r="E25" s="402" t="n">
        <v>0.165</v>
      </c>
      <c r="F25" s="402" t="n">
        <v>0.17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(avg)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inlineStr">
        <is>
          <t xml:space="preserve">market-researcher | valuation-agent | as-of: </t>
        </is>
      </c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inlineStr">
        <is>
          <t xml:space="preserve">market-researcher | valuation-agent | as-of: </t>
        </is>
      </c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inlineStr">
        <is>
          <t xml:space="preserve">market-researcher | valuation-agent | as-of: </t>
        </is>
      </c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inlineStr">
        <is>
          <t xml:space="preserve">market-researcher | valuation-agent | as-of: </t>
        </is>
      </c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inlineStr">
        <is>
          <t xml:space="preserve">market-researcher | valuation-agent | as-of: </t>
        </is>
      </c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>
        <f>IFERROR(B22,"-")</f>
        <v/>
      </c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>
        <f>IFERROR(B23,"-")</f>
        <v/>
      </c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>
        <f>IFERROR(B24,"-")</f>
        <v/>
      </c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>
        <f>IFERROR(B25,"-")</f>
        <v/>
      </c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>
        <f>IFERROR(B27,"-")</f>
        <v/>
      </c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inlineStr">
        <is>
          <t xml:space="preserve">market-researcher | valuation-agent | as-of: </t>
        </is>
      </c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>
        <f>IFERROR(B22,"-")</f>
        <v/>
      </c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>
        <f>IFERROR(B23,"-")</f>
        <v/>
      </c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>
        <f>IFERROR(B24,"-")</f>
        <v/>
      </c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>
        <f>IFERROR(B25,"-")</f>
        <v/>
      </c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>
        <f>IFERROR(B27,"-")</f>
        <v/>
      </c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inlineStr">
        <is>
          <t xml:space="preserve">market-researcher | valuation-agent | as-of: </t>
        </is>
      </c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40.97</v>
      </c>
      <c r="C118" s="416" t="n">
        <v>32</v>
      </c>
      <c r="D118" s="335" t="n">
        <v>16.14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36.48</v>
      </c>
      <c r="C119" s="404" t="n">
        <v>24</v>
      </c>
      <c r="D119" s="334" t="n">
        <v>14.36</v>
      </c>
      <c r="E119" s="351">
        <f>IFERROR((C119*Data!L20-Data!L36-Data!L42+B58)/B60,"-")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37.27</v>
      </c>
      <c r="C120" s="416" t="n">
        <v>25</v>
      </c>
      <c r="D120" s="335" t="n">
        <v>14.67</v>
      </c>
      <c r="E120" s="350">
        <f>IFERROR((C120*Data!L22-Data!L36-Data!L42+B58)/B60,"-")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50.29</v>
      </c>
      <c r="C121" s="404" t="n">
        <v>35</v>
      </c>
      <c r="D121" s="334" t="n">
        <v>19.81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0.0199</v>
      </c>
      <c r="C122" s="401" t="n">
        <v>0.028</v>
      </c>
      <c r="D122" s="335" t="n">
        <v>0.0505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IFERROR(B181*Data!L27,"-")</f>
        <v/>
      </c>
      <c r="C136" s="350">
        <f>IFERROR(C118*Data!L27,"-")</f>
        <v/>
      </c>
      <c r="D136" s="350">
        <f>IFERROR(B182*Data!L27,"-")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IFERROR((B183*Data!L20-Data!L36-Data!L42+B58)/B60,"-")</f>
        <v/>
      </c>
      <c r="C137" s="351">
        <f>IFERROR((C119*Data!L20-Data!L36-Data!L42+B58)/B60,"-")</f>
        <v/>
      </c>
      <c r="D137" s="351">
        <f>IFERROR((B184*Data!L20-Data!L36-Data!L42+B58)/B60,"-")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inlineStr">
        <is>
          <t xml:space="preserve">market-researcher | valuation-agent | as-of: </t>
        </is>
      </c>
    </row>
    <row r="144" ht="15" customHeight="1" s="74">
      <c r="A144" s="321" t="inlineStr">
        <is>
          <t>Current Share Price</t>
        </is>
      </c>
      <c r="B144" s="359" t="n">
        <v>200.75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inlineStr">
        <is>
          <t xml:space="preserve">market-researcher | valuation-agent | as-of: </t>
        </is>
      </c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2.5% | 3.0% | 3.5% | 4.0% | 4.5% |
|---|---|---|---|---|---|
| 13.58% | 81.6 | 84.3 | 87.3 | 90.6 | 94.2 |
| 14.08% | 77.9 | 80.3 | 83.0 | 85.9 | 89.2 |
| **14.58%** | 74.5 | 76.7 | **79.1** | 81.7 | 84.6 |
| 15.08% | 71.4 | 73.4 | 75.5 | 77.9 | 80.4 |
| 15.58% | 68.5 | 70.3 | 72.2 | 74.4 | 76.7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13.0x | 14.0x | 15.0x | 16.0x | 17.0x |
|---|---|---|---|---|---|
| 13.58% | 123.6 | 130.8 | 138.0 | 145.2 | 152.4 |
| 14.08% | 121.1 | 128.2 | 135.2 | 142.3 | 149.4 |
| **14.58%** | 118.8 | 125.7 | **132.6** | 139.5 | 146.4 |
| 15.08% | 116.5 | 123.2 | 130.0 | 136.7 | 143.5 |
| 15.58% | 114.2 | 120.8 | 127.4 | 134.0 | 140.7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IFERROR((B40/(1+$A161)^1+C40/(1+$A161)^2+D40/(1+$A161)^3+E40/(1+$A161)^4+F40/(1+$A161)^5+F32*B$160/(1+$A161)^5-Data!L36-Data!L42+B58)/B60,"-")</f>
        <v/>
      </c>
      <c r="C161" s="351">
        <f>IFERROR((B40/(1+$A161)^1+C40/(1+$A161)^2+D40/(1+$A161)^3+E40/(1+$A161)^4+F40/(1+$A161)^5+F32*C$160/(1+$A161)^5-Data!L36-Data!L42+B58)/B60,"-")</f>
        <v/>
      </c>
      <c r="D161" s="351">
        <f>IFERROR((B40/(1+$A161)^1+C40/(1+$A161)^2+D40/(1+$A161)^3+E40/(1+$A161)^4+F40/(1+$A161)^5+F32*D$160/(1+$A161)^5-Data!L36-Data!L42+B58)/B60,"-")</f>
        <v/>
      </c>
      <c r="E161" s="351">
        <f>IFERROR((B40/(1+$A161)^1+C40/(1+$A161)^2+D40/(1+$A161)^3+E40/(1+$A161)^4+F40/(1+$A161)^5+F32*E$160/(1+$A161)^5-Data!L36-Data!L42+B58)/B60,"-")</f>
        <v/>
      </c>
      <c r="F161" s="351">
        <f>IFERROR((B40/(1+$A161)^1+C40/(1+$A161)^2+D40/(1+$A161)^3+E40/(1+$A161)^4+F40/(1+$A161)^5+F32*F$160/(1+$A161)^5-Data!L36-Data!L42+B58)/B60,"-")</f>
        <v/>
      </c>
      <c r="G161" s="351">
        <f>IFERROR((B40/(1+$A161)^1+C40/(1+$A161)^2+D40/(1+$A161)^3+E40/(1+$A161)^4+F40/(1+$A161)^5+F32*G$160/(1+$A161)^5-Data!L36-Data!L42+B58)/B60,"-")</f>
        <v/>
      </c>
      <c r="H161" s="351">
        <f>IFERROR((B40/(1+$A161)^1+C40/(1+$A161)^2+D40/(1+$A161)^3+E40/(1+$A161)^4+F40/(1+$A161)^5+F32*H$160/(1+$A161)^5-Data!L36-Data!L42+B58)/B60,"-")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IFERROR((B40/(1+$A162)^1+C40/(1+$A162)^2+D40/(1+$A162)^3+E40/(1+$A162)^4+F40/(1+$A162)^5+F32*B$160/(1+$A162)^5-Data!L36-Data!L42+B58)/B60,"-")</f>
        <v/>
      </c>
      <c r="C162" s="350">
        <f>IFERROR((B40/(1+$A162)^1+C40/(1+$A162)^2+D40/(1+$A162)^3+E40/(1+$A162)^4+F40/(1+$A162)^5+F32*C$160/(1+$A162)^5-Data!L36-Data!L42+B58)/B60,"-")</f>
        <v/>
      </c>
      <c r="D162" s="350">
        <f>IFERROR((B40/(1+$A162)^1+C40/(1+$A162)^2+D40/(1+$A162)^3+E40/(1+$A162)^4+F40/(1+$A162)^5+F32*D$160/(1+$A162)^5-Data!L36-Data!L42+B58)/B60,"-")</f>
        <v/>
      </c>
      <c r="E162" s="350">
        <f>IFERROR((B40/(1+$A162)^1+C40/(1+$A162)^2+D40/(1+$A162)^3+E40/(1+$A162)^4+F40/(1+$A162)^5+F32*E$160/(1+$A162)^5-Data!L36-Data!L42+B58)/B60,"-")</f>
        <v/>
      </c>
      <c r="F162" s="350">
        <f>IFERROR((B40/(1+$A162)^1+C40/(1+$A162)^2+D40/(1+$A162)^3+E40/(1+$A162)^4+F40/(1+$A162)^5+F32*F$160/(1+$A162)^5-Data!L36-Data!L42+B58)/B60,"-")</f>
        <v/>
      </c>
      <c r="G162" s="350">
        <f>IFERROR((B40/(1+$A162)^1+C40/(1+$A162)^2+D40/(1+$A162)^3+E40/(1+$A162)^4+F40/(1+$A162)^5+F32*G$160/(1+$A162)^5-Data!L36-Data!L42+B58)/B60,"-")</f>
        <v/>
      </c>
      <c r="H162" s="350">
        <f>IFERROR((B40/(1+$A162)^1+C40/(1+$A162)^2+D40/(1+$A162)^3+E40/(1+$A162)^4+F40/(1+$A162)^5+F32*H$160/(1+$A162)^5-Data!L36-Data!L42+B58)/B60,"-")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IFERROR((B40/(1+$A163)^1+C40/(1+$A163)^2+D40/(1+$A163)^3+E40/(1+$A163)^4+F40/(1+$A163)^5+F32*B$160/(1+$A163)^5-Data!L36-Data!L42+B58)/B60,"-")</f>
        <v/>
      </c>
      <c r="C163" s="351">
        <f>IFERROR((B40/(1+$A163)^1+C40/(1+$A163)^2+D40/(1+$A163)^3+E40/(1+$A163)^4+F40/(1+$A163)^5+F32*C$160/(1+$A163)^5-Data!L36-Data!L42+B58)/B60,"-")</f>
        <v/>
      </c>
      <c r="D163" s="351">
        <f>IFERROR((B40/(1+$A163)^1+C40/(1+$A163)^2+D40/(1+$A163)^3+E40/(1+$A163)^4+F40/(1+$A163)^5+F32*D$160/(1+$A163)^5-Data!L36-Data!L42+B58)/B60,"-")</f>
        <v/>
      </c>
      <c r="E163" s="351">
        <f>IFERROR((B40/(1+$A163)^1+C40/(1+$A163)^2+D40/(1+$A163)^3+E40/(1+$A163)^4+F40/(1+$A163)^5+F32*E$160/(1+$A163)^5-Data!L36-Data!L42+B58)/B60,"-")</f>
        <v/>
      </c>
      <c r="F163" s="351">
        <f>IFERROR((B40/(1+$A163)^1+C40/(1+$A163)^2+D40/(1+$A163)^3+E40/(1+$A163)^4+F40/(1+$A163)^5+F32*F$160/(1+$A163)^5-Data!L36-Data!L42+B58)/B60,"-")</f>
        <v/>
      </c>
      <c r="G163" s="351">
        <f>IFERROR((B40/(1+$A163)^1+C40/(1+$A163)^2+D40/(1+$A163)^3+E40/(1+$A163)^4+F40/(1+$A163)^5+F32*G$160/(1+$A163)^5-Data!L36-Data!L42+B58)/B60,"-")</f>
        <v/>
      </c>
      <c r="H163" s="351">
        <f>IFERROR((B40/(1+$A163)^1+C40/(1+$A163)^2+D40/(1+$A163)^3+E40/(1+$A163)^4+F40/(1+$A163)^5+F32*H$160/(1+$A163)^5-Data!L36-Data!L42+B58)/B60,"-")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IFERROR((B40/(1+$A164)^1+C40/(1+$A164)^2+D40/(1+$A164)^3+E40/(1+$A164)^4+F40/(1+$A164)^5+F32*B$160/(1+$A164)^5-Data!L36-Data!L42+B58)/B60,"-")</f>
        <v/>
      </c>
      <c r="C164" s="350">
        <f>IFERROR((B40/(1+$A164)^1+C40/(1+$A164)^2+D40/(1+$A164)^3+E40/(1+$A164)^4+F40/(1+$A164)^5+F32*C$160/(1+$A164)^5-Data!L36-Data!L42+B58)/B60,"-")</f>
        <v/>
      </c>
      <c r="D164" s="350">
        <f>IFERROR((B40/(1+$A164)^1+C40/(1+$A164)^2+D40/(1+$A164)^3+E40/(1+$A164)^4+F40/(1+$A164)^5+F32*D$160/(1+$A164)^5-Data!L36-Data!L42+B58)/B60,"-")</f>
        <v/>
      </c>
      <c r="E164" s="350">
        <f>IFERROR((B40/(1+$A164)^1+C40/(1+$A164)^2+D40/(1+$A164)^3+E40/(1+$A164)^4+F40/(1+$A164)^5+F32*E$160/(1+$A164)^5-Data!L36-Data!L42+B58)/B60,"-")</f>
        <v/>
      </c>
      <c r="F164" s="350">
        <f>IFERROR((B40/(1+$A164)^1+C40/(1+$A164)^2+D40/(1+$A164)^3+E40/(1+$A164)^4+F40/(1+$A164)^5+F32*F$160/(1+$A164)^5-Data!L36-Data!L42+B58)/B60,"-")</f>
        <v/>
      </c>
      <c r="G164" s="350">
        <f>IFERROR((B40/(1+$A164)^1+C40/(1+$A164)^2+D40/(1+$A164)^3+E40/(1+$A164)^4+F40/(1+$A164)^5+F32*G$160/(1+$A164)^5-Data!L36-Data!L42+B58)/B60,"-")</f>
        <v/>
      </c>
      <c r="H164" s="350">
        <f>IFERROR((B40/(1+$A164)^1+C40/(1+$A164)^2+D40/(1+$A164)^3+E40/(1+$A164)^4+F40/(1+$A164)^5+F32*H$160/(1+$A164)^5-Data!L36-Data!L42+B58)/B60,"-")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IFERROR((B40/(1+$A165)^1+C40/(1+$A165)^2+D40/(1+$A165)^3+E40/(1+$A165)^4+F40/(1+$A165)^5+F32*B$160/(1+$A165)^5-Data!L36-Data!L42+B58)/B60,"-")</f>
        <v/>
      </c>
      <c r="C165" s="351">
        <f>IFERROR((B40/(1+$A165)^1+C40/(1+$A165)^2+D40/(1+$A165)^3+E40/(1+$A165)^4+F40/(1+$A165)^5+F32*C$160/(1+$A165)^5-Data!L36-Data!L42+B58)/B60,"-")</f>
        <v/>
      </c>
      <c r="D165" s="351">
        <f>IFERROR((B40/(1+$A165)^1+C40/(1+$A165)^2+D40/(1+$A165)^3+E40/(1+$A165)^4+F40/(1+$A165)^5+F32*D$160/(1+$A165)^5-Data!L36-Data!L42+B58)/B60,"-")</f>
        <v/>
      </c>
      <c r="E165" s="366">
        <f>IFERROR((B40/(1+$A165)^1+C40/(1+$A165)^2+D40/(1+$A165)^3+E40/(1+$A165)^4+F40/(1+$A165)^5+F32*E$160/(1+$A165)^5-Data!L36-Data!L42+B58)/B60,"-")</f>
        <v/>
      </c>
      <c r="F165" s="351">
        <f>IFERROR((B40/(1+$A165)^1+C40/(1+$A165)^2+D40/(1+$A165)^3+E40/(1+$A165)^4+F40/(1+$A165)^5+F32*F$160/(1+$A165)^5-Data!L36-Data!L42+B58)/B60,"-")</f>
        <v/>
      </c>
      <c r="G165" s="351">
        <f>IFERROR((B40/(1+$A165)^1+C40/(1+$A165)^2+D40/(1+$A165)^3+E40/(1+$A165)^4+F40/(1+$A165)^5+F32*G$160/(1+$A165)^5-Data!L36-Data!L42+B58)/B60,"-")</f>
        <v/>
      </c>
      <c r="H165" s="351">
        <f>IFERROR((B40/(1+$A165)^1+C40/(1+$A165)^2+D40/(1+$A165)^3+E40/(1+$A165)^4+F40/(1+$A165)^5+F32*H$160/(1+$A165)^5-Data!L36-Data!L42+B58)/B60,"-")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IFERROR((B40/(1+$A166)^1+C40/(1+$A166)^2+D40/(1+$A166)^3+E40/(1+$A166)^4+F40/(1+$A166)^5+F32*B$160/(1+$A166)^5-Data!L36-Data!L42+B58)/B60,"-")</f>
        <v/>
      </c>
      <c r="C166" s="350">
        <f>IFERROR((B40/(1+$A166)^1+C40/(1+$A166)^2+D40/(1+$A166)^3+E40/(1+$A166)^4+F40/(1+$A166)^5+F32*C$160/(1+$A166)^5-Data!L36-Data!L42+B58)/B60,"-")</f>
        <v/>
      </c>
      <c r="D166" s="350">
        <f>IFERROR((B40/(1+$A166)^1+C40/(1+$A166)^2+D40/(1+$A166)^3+E40/(1+$A166)^4+F40/(1+$A166)^5+F32*D$160/(1+$A166)^5-Data!L36-Data!L42+B58)/B60,"-")</f>
        <v/>
      </c>
      <c r="E166" s="350">
        <f>IFERROR((B40/(1+$A166)^1+C40/(1+$A166)^2+D40/(1+$A166)^3+E40/(1+$A166)^4+F40/(1+$A166)^5+F32*E$160/(1+$A166)^5-Data!L36-Data!L42+B58)/B60,"-")</f>
        <v/>
      </c>
      <c r="F166" s="350">
        <f>IFERROR((B40/(1+$A166)^1+C40/(1+$A166)^2+D40/(1+$A166)^3+E40/(1+$A166)^4+F40/(1+$A166)^5+F32*F$160/(1+$A166)^5-Data!L36-Data!L42+B58)/B60,"-")</f>
        <v/>
      </c>
      <c r="G166" s="350">
        <f>IFERROR((B40/(1+$A166)^1+C40/(1+$A166)^2+D40/(1+$A166)^3+E40/(1+$A166)^4+F40/(1+$A166)^5+F32*G$160/(1+$A166)^5-Data!L36-Data!L42+B58)/B60,"-")</f>
        <v/>
      </c>
      <c r="H166" s="350">
        <f>IFERROR((B40/(1+$A166)^1+C40/(1+$A166)^2+D40/(1+$A166)^3+E40/(1+$A166)^4+F40/(1+$A166)^5+F32*H$160/(1+$A166)^5-Data!L36-Data!L42+B58)/B60,"-")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IFERROR((B40/(1+$A167)^1+C40/(1+$A167)^2+D40/(1+$A167)^3+E40/(1+$A167)^4+F40/(1+$A167)^5+F32*B$160/(1+$A167)^5-Data!L36-Data!L42+B58)/B60,"-")</f>
        <v/>
      </c>
      <c r="C167" s="351">
        <f>IFERROR((B40/(1+$A167)^1+C40/(1+$A167)^2+D40/(1+$A167)^3+E40/(1+$A167)^4+F40/(1+$A167)^5+F32*C$160/(1+$A167)^5-Data!L36-Data!L42+B58)/B60,"-")</f>
        <v/>
      </c>
      <c r="D167" s="351">
        <f>IFERROR((B40/(1+$A167)^1+C40/(1+$A167)^2+D40/(1+$A167)^3+E40/(1+$A167)^4+F40/(1+$A167)^5+F32*D$160/(1+$A167)^5-Data!L36-Data!L42+B58)/B60,"-")</f>
        <v/>
      </c>
      <c r="E167" s="351">
        <f>IFERROR((B40/(1+$A167)^1+C40/(1+$A167)^2+D40/(1+$A167)^3+E40/(1+$A167)^4+F40/(1+$A167)^5+F32*E$160/(1+$A167)^5-Data!L36-Data!L42+B58)/B60,"-")</f>
        <v/>
      </c>
      <c r="F167" s="351">
        <f>IFERROR((B40/(1+$A167)^1+C40/(1+$A167)^2+D40/(1+$A167)^3+E40/(1+$A167)^4+F40/(1+$A167)^5+F32*F$160/(1+$A167)^5-Data!L36-Data!L42+B58)/B60,"-")</f>
        <v/>
      </c>
      <c r="G167" s="351">
        <f>IFERROR((B40/(1+$A167)^1+C40/(1+$A167)^2+D40/(1+$A167)^3+E40/(1+$A167)^4+F40/(1+$A167)^5+F32*G$160/(1+$A167)^5-Data!L36-Data!L42+B58)/B60,"-")</f>
        <v/>
      </c>
      <c r="H167" s="351">
        <f>IFERROR((B40/(1+$A167)^1+C40/(1+$A167)^2+D40/(1+$A167)^3+E40/(1+$A167)^4+F40/(1+$A167)^5+F32*H$160/(1+$A167)^5-Data!L36-Data!L42+B58)/B60,"-")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IFERROR((B40/(1+$A168)^1+C40/(1+$A168)^2+D40/(1+$A168)^3+E40/(1+$A168)^4+F40/(1+$A168)^5+F32*B$160/(1+$A168)^5-Data!L36-Data!L42+B58)/B60,"-")</f>
        <v/>
      </c>
      <c r="C168" s="350">
        <f>IFERROR((B40/(1+$A168)^1+C40/(1+$A168)^2+D40/(1+$A168)^3+E40/(1+$A168)^4+F40/(1+$A168)^5+F32*C$160/(1+$A168)^5-Data!L36-Data!L42+B58)/B60,"-")</f>
        <v/>
      </c>
      <c r="D168" s="350">
        <f>IFERROR((B40/(1+$A168)^1+C40/(1+$A168)^2+D40/(1+$A168)^3+E40/(1+$A168)^4+F40/(1+$A168)^5+F32*D$160/(1+$A168)^5-Data!L36-Data!L42+B58)/B60,"-")</f>
        <v/>
      </c>
      <c r="E168" s="350">
        <f>IFERROR((B40/(1+$A168)^1+C40/(1+$A168)^2+D40/(1+$A168)^3+E40/(1+$A168)^4+F40/(1+$A168)^5+F32*E$160/(1+$A168)^5-Data!L36-Data!L42+B58)/B60,"-")</f>
        <v/>
      </c>
      <c r="F168" s="350">
        <f>IFERROR((B40/(1+$A168)^1+C40/(1+$A168)^2+D40/(1+$A168)^3+E40/(1+$A168)^4+F40/(1+$A168)^5+F32*F$160/(1+$A168)^5-Data!L36-Data!L42+B58)/B60,"-")</f>
        <v/>
      </c>
      <c r="G168" s="350">
        <f>IFERROR((B40/(1+$A168)^1+C40/(1+$A168)^2+D40/(1+$A168)^3+E40/(1+$A168)^4+F40/(1+$A168)^5+F32*G$160/(1+$A168)^5-Data!L36-Data!L42+B58)/B60,"-")</f>
        <v/>
      </c>
      <c r="H168" s="350">
        <f>IFERROR((B40/(1+$A168)^1+C40/(1+$A168)^2+D40/(1+$A168)^3+E40/(1+$A168)^4+F40/(1+$A168)^5+F32*H$160/(1+$A168)^5-Data!L36-Data!L42+B58)/B60,"-")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IFERROR((B40/(1+$A169)^1+C40/(1+$A169)^2+D40/(1+$A169)^3+E40/(1+$A169)^4+F40/(1+$A169)^5+F32*B$160/(1+$A169)^5-Data!L36-Data!L42+B58)/B60,"-")</f>
        <v/>
      </c>
      <c r="C169" s="351">
        <f>IFERROR((B40/(1+$A169)^1+C40/(1+$A169)^2+D40/(1+$A169)^3+E40/(1+$A169)^4+F40/(1+$A169)^5+F32*C$160/(1+$A169)^5-Data!L36-Data!L42+B58)/B60,"-")</f>
        <v/>
      </c>
      <c r="D169" s="351">
        <f>IFERROR((B40/(1+$A169)^1+C40/(1+$A169)^2+D40/(1+$A169)^3+E40/(1+$A169)^4+F40/(1+$A169)^5+F32*D$160/(1+$A169)^5-Data!L36-Data!L42+B58)/B60,"-")</f>
        <v/>
      </c>
      <c r="E169" s="351">
        <f>IFERROR((B40/(1+$A169)^1+C40/(1+$A169)^2+D40/(1+$A169)^3+E40/(1+$A169)^4+F40/(1+$A169)^5+F32*E$160/(1+$A169)^5-Data!L36-Data!L42+B58)/B60,"-")</f>
        <v/>
      </c>
      <c r="F169" s="351">
        <f>IFERROR((B40/(1+$A169)^1+C40/(1+$A169)^2+D40/(1+$A169)^3+E40/(1+$A169)^4+F40/(1+$A169)^5+F32*F$160/(1+$A169)^5-Data!L36-Data!L42+B58)/B60,"-")</f>
        <v/>
      </c>
      <c r="G169" s="351">
        <f>IFERROR((B40/(1+$A169)^1+C40/(1+$A169)^2+D40/(1+$A169)^3+E40/(1+$A169)^4+F40/(1+$A169)^5+F32*G$160/(1+$A169)^5-Data!L36-Data!L42+B58)/B60,"-")</f>
        <v/>
      </c>
      <c r="H169" s="351">
        <f>IFERROR((B40/(1+$A169)^1+C40/(1+$A169)^2+D40/(1+$A169)^3+E40/(1+$A169)^4+F40/(1+$A169)^5+F32*H$160/(1+$A169)^5-Data!L36-Data!L42+B58)/B60,"-")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4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IFERROR(IF(NOT(ISNUMBER(Data!B22)),"-",(Data!B22*(1-IF(AND(ISNUMBER(Data!B24),Data!B24&lt;&gt;0,ISNUMBER(Data!B25)),Data!B25/Data!B24,0.21)))/((Data!B41+Data!B35-Data!B32))),"-")</f>
        <v/>
      </c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IFERROR(IF(OR(NOT(ISNUMBER(Data!B22)),NOT(ISNUMBER(Data!B23))),"-",ABS(Data!B22)/ABS(Data!B23)),"-")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461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61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61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461">
        <f>IFERROR(IF(OR(NOT(ISNUMBER(Data!W35)),NOT(ISNUMBER(Data!W41))),"-",Data!W35/Data!W41),"-")</f>
        <v/>
      </c>
      <c r="X16" s="461">
        <f>IFERROR(IF(OR(NOT(ISNUMBER(Data!X35)),NOT(ISNUMBER(Data!X41))),"-",Data!X35/Data!X41),"-")</f>
        <v/>
      </c>
      <c r="Y16" s="461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461">
        <f>IFERROR(IF(OR(NOT(ISNUMBER(Data!W37)),NOT(ISNUMBER(Data!W38))),"-",Data!W37/Data!W38),"-")</f>
        <v/>
      </c>
      <c r="X17" s="461">
        <f>IFERROR(IF(OR(NOT(ISNUMBER(Data!X37)),NOT(ISNUMBER(Data!X38))),"-",Data!X37/Data!X38),"-")</f>
        <v/>
      </c>
      <c r="Y17" s="461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461">
        <f>IFERROR(IF(OR(NOT(ISNUMBER(Data!W35)),NOT(ISNUMBER(Data!T20)),NOT(ISNUMBER(Data!U20)),NOT(ISNUMBER(Data!V20)),NOT(ISNUMBER(Data!W20))),"-",Data!W35/(Data!T20+Data!U20+Data!V20+Data!W20)),"-")</f>
        <v/>
      </c>
      <c r="X18" s="461">
        <f>IFERROR(IF(OR(NOT(ISNUMBER(Data!X35)),NOT(ISNUMBER(Data!U20)),NOT(ISNUMBER(Data!V20)),NOT(ISNUMBER(Data!W20)),NOT(ISNUMBER(Data!X20))),"-",Data!X35/(Data!U20+Data!V20+Data!W20+Data!X20)),"-")</f>
        <v/>
      </c>
      <c r="Y18" s="461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464" t="n"/>
      <c r="X20" s="464" t="n"/>
      <c r="Y20" s="464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465" t="n"/>
      <c r="X22" s="465" t="n"/>
      <c r="Y22" s="465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465" t="n"/>
      <c r="X23" s="465" t="n"/>
      <c r="Y23" s="465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IFERROR(IF(OR(NOT(ISNUMBER(Data!C27)),NOT(ISNUMBER(Data!B27))),"-",((Data!C27/40)-(Data!B27/40))/ABS((Data!B27/40))),"-")</f>
        <v/>
      </c>
      <c r="D24" s="89">
        <f>IFERROR(IF(OR(NOT(ISNUMBER(Data!D27)),NOT(ISNUMBER(Data!C27))),"-",((Data!D27/40)-(Data!C27/40))/ABS((Data!C27/40))),"-")</f>
        <v/>
      </c>
      <c r="E24" s="89">
        <f>IFERROR(IF(OR(NOT(ISNUMBER(Data!E27)),NOT(ISNUMBER(Data!D27))),"-",((Data!E27/40)-(Data!D27/40))/ABS((Data!D27/40))),"-")</f>
        <v/>
      </c>
      <c r="F24" s="89">
        <f>IFERROR(IF(OR(NOT(ISNUMBER(Data!F27)),NOT(ISNUMBER(Data!E27))),"-",((Data!F27/40)-(Data!E27/40))/ABS((Data!E27/40))),"-")</f>
        <v/>
      </c>
      <c r="G24" s="89">
        <f>IFERROR(IF(OR(NOT(ISNUMBER(Data!G27)),NOT(ISNUMBER(Data!F27))),"-",((Data!G27/40)-(Data!F27/40))/ABS((Data!F27/40))),"-")</f>
        <v/>
      </c>
      <c r="H24" s="89">
        <f>IFERROR(IF(OR(NOT(ISNUMBER(Data!H27)),NOT(ISNUMBER(Data!G27))),"-",((Data!H27/10)-(Data!G27/40))/ABS((Data!G27/40))),"-")</f>
        <v/>
      </c>
      <c r="I24" s="89">
        <f>IFERROR(IF(OR(NOT(ISNUMBER(Data!I27)),NOT(ISNUMBER(Data!H27))),"-",((Data!I27/10)-(Data!H27/10))/ABS((Data!H27/10))),"-")</f>
        <v/>
      </c>
      <c r="J24" s="89">
        <f>IFERROR(IF(OR(NOT(ISNUMBER(Data!J27)),NOT(ISNUMBER(Data!I27))),"-",((Data!J27/10)-(Data!I27/10))/ABS((Data!I27/10))),"-")</f>
        <v/>
      </c>
      <c r="K24" s="89">
        <f>IFERROR(IF(OR(NOT(ISNUMBER(Data!K27)),NOT(ISNUMBER(Data!J27))),"-",(Data!K27-(Data!J27/10))/ABS((Data!J27/10))),"-")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465" t="n"/>
      <c r="X24" s="465" t="n"/>
      <c r="Y24" s="465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465" t="n"/>
      <c r="X25" s="465" t="n"/>
      <c r="Y25" s="465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465" t="n"/>
      <c r="X26" s="465" t="n"/>
      <c r="Y26" s="465" t="n"/>
    </row>
    <row r="27">
      <c r="A27" s="2" t="inlineStr">
        <is>
          <t>Diluted Shares (split-adj, M)</t>
        </is>
      </c>
      <c r="B27" s="2">
        <f>IFERROR(IF(OR(NOT(ISNUMBER(Data!B28))),"-",(Data!B28*40)),"-")</f>
        <v/>
      </c>
      <c r="C27" s="2">
        <f>IFERROR(IF(OR(NOT(ISNUMBER(Data!C28))),"-",(Data!C28*40)),"-")</f>
        <v/>
      </c>
      <c r="D27" s="2">
        <f>IFERROR(IF(OR(NOT(ISNUMBER(Data!D28))),"-",(Data!D28*40)),"-")</f>
        <v/>
      </c>
      <c r="E27" s="2">
        <f>IFERROR(IF(OR(NOT(ISNUMBER(Data!E28))),"-",(Data!E28*40)),"-")</f>
        <v/>
      </c>
      <c r="F27" s="2">
        <f>IFERROR(IF(OR(NOT(ISNUMBER(Data!F28))),"-",(Data!F28*40)),"-")</f>
        <v/>
      </c>
      <c r="G27" s="2">
        <f>IFERROR(IF(OR(NOT(ISNUMBER(Data!G28))),"-",(Data!G28*40)),"-")</f>
        <v/>
      </c>
      <c r="H27" s="2">
        <f>IFERROR(IF(OR(NOT(ISNUMBER(Data!H28))),"-",(Data!H28*10)),"-")</f>
        <v/>
      </c>
      <c r="I27" s="2">
        <f>IFERROR(IF(OR(NOT(ISNUMBER(Data!I28))),"-",(Data!I28*10)),"-")</f>
        <v/>
      </c>
      <c r="J27" s="2">
        <f>IFERROR(IF(OR(NOT(ISNUMBER(Data!J28))),"-",(Data!J28*10)),"-")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465" t="n"/>
      <c r="X27" s="465" t="n"/>
      <c r="Y27" s="465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IFERROR(IF(OR(NOT(ISNUMBER(Data!B41)),NOT(ISNUMBER(Data!B28))),"-",Data!B41/(Data!B28*40)),"-")</f>
        <v/>
      </c>
      <c r="C30" s="21">
        <f>IFERROR(IF(OR(NOT(ISNUMBER(Data!C41)),NOT(ISNUMBER(Data!C28))),"-",Data!C41/(Data!C28*40)),"-")</f>
        <v/>
      </c>
      <c r="D30" s="21">
        <f>IFERROR(IF(OR(NOT(ISNUMBER(Data!D41)),NOT(ISNUMBER(Data!D28))),"-",Data!D41/(Data!D28*40)),"-")</f>
        <v/>
      </c>
      <c r="E30" s="21">
        <f>IFERROR(IF(OR(NOT(ISNUMBER(Data!E41)),NOT(ISNUMBER(Data!E28))),"-",Data!E41/(Data!E28*40)),"-")</f>
        <v/>
      </c>
      <c r="F30" s="21">
        <f>IFERROR(IF(OR(NOT(ISNUMBER(Data!F41)),NOT(ISNUMBER(Data!F28))),"-",Data!F41/(Data!F28*40)),"-")</f>
        <v/>
      </c>
      <c r="G30" s="21">
        <f>IFERROR(IF(OR(NOT(ISNUMBER(Data!G41)),NOT(ISNUMBER(Data!G28))),"-",Data!G41/(Data!G28*40)),"-")</f>
        <v/>
      </c>
      <c r="H30" s="21">
        <f>IFERROR(IF(OR(NOT(ISNUMBER(Data!H41)),NOT(ISNUMBER(Data!H28))),"-",Data!H41/(Data!H28*10)),"-")</f>
        <v/>
      </c>
      <c r="I30" s="21">
        <f>IFERROR(IF(OR(NOT(ISNUMBER(Data!I41)),NOT(ISNUMBER(Data!I28))),"-",Data!I41/(Data!I28*10)),"-")</f>
        <v/>
      </c>
      <c r="J30" s="21">
        <f>IFERROR(IF(OR(NOT(ISNUMBER(Data!J41)),NOT(ISNUMBER(Data!J28))),"-",Data!J41/(Data!J28*10)),"-")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461">
        <f>IFERROR(IF(OR(NOT(ISNUMBER(Data!W41)),NOT(ISNUMBER(Data!W28))),"-",Data!W41/Data!W28),"-")</f>
        <v/>
      </c>
      <c r="X30" s="461">
        <f>IFERROR(IF(OR(NOT(ISNUMBER(Data!X41)),NOT(ISNUMBER(Data!X28))),"-",Data!X41/Data!X28),"-")</f>
        <v/>
      </c>
      <c r="Y30" s="461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IFERROR(IF(OR(NOT(ISNUMBER(Data!B53)),NOT(ISNUMBER(Data!B28))),"-",Data!B53/(Data!B28*40)),"-")</f>
        <v/>
      </c>
      <c r="C31" s="22">
        <f>IFERROR(IF(OR(NOT(ISNUMBER(Data!C53)),NOT(ISNUMBER(Data!C28))),"-",Data!C53/(Data!C28*40)),"-")</f>
        <v/>
      </c>
      <c r="D31" s="22">
        <f>IFERROR(IF(OR(NOT(ISNUMBER(Data!D53)),NOT(ISNUMBER(Data!D28))),"-",Data!D53/(Data!D28*40)),"-")</f>
        <v/>
      </c>
      <c r="E31" s="22">
        <f>IFERROR(IF(OR(NOT(ISNUMBER(Data!E53)),NOT(ISNUMBER(Data!E28))),"-",Data!E53/(Data!E28*40)),"-")</f>
        <v/>
      </c>
      <c r="F31" s="22">
        <f>IFERROR(IF(OR(NOT(ISNUMBER(Data!F53)),NOT(ISNUMBER(Data!F28))),"-",Data!F53/(Data!F28*40)),"-")</f>
        <v/>
      </c>
      <c r="G31" s="22">
        <f>IFERROR(IF(OR(NOT(ISNUMBER(Data!G53)),NOT(ISNUMBER(Data!G28))),"-",Data!G53/(Data!G28*40)),"-")</f>
        <v/>
      </c>
      <c r="H31" s="22">
        <f>IFERROR(IF(OR(NOT(ISNUMBER(Data!H53)),NOT(ISNUMBER(Data!H28))),"-",Data!H53/(Data!H28*10)),"-")</f>
        <v/>
      </c>
      <c r="I31" s="22">
        <f>IFERROR(IF(OR(NOT(ISNUMBER(Data!I53)),NOT(ISNUMBER(Data!I28))),"-",Data!I53/(Data!I28*10)),"-")</f>
        <v/>
      </c>
      <c r="J31" s="22">
        <f>IFERROR(IF(OR(NOT(ISNUMBER(Data!J53)),NOT(ISNUMBER(Data!J28))),"-",Data!J53/(Data!J28*10)),"-")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461">
        <f>IFERROR(IF(OR(NOT(ISNUMBER(Data!T53)),NOT(ISNUMBER(Data!U53)),NOT(ISNUMBER(Data!V53)),NOT(ISNUMBER(Data!W53)),NOT(ISNUMBER(Data!W28))),"-",(Data!T53+Data!U53+Data!V53+Data!W53)/Data!W28),"-")</f>
        <v/>
      </c>
      <c r="X31" s="461">
        <f>IFERROR(IF(OR(NOT(ISNUMBER(Data!U53)),NOT(ISNUMBER(Data!V53)),NOT(ISNUMBER(Data!W53)),NOT(ISNUMBER(Data!X53)),NOT(ISNUMBER(Data!X28))),"-",(Data!U53+Data!V53+Data!W53+Data!X53)/Data!X28),"-")</f>
        <v/>
      </c>
      <c r="Y31" s="461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IFERROR(IF(OR(NOT(ISNUMBER(Data!B14)),NOT(ISNUMBER(Data!B28))),"-",Data!B14/(Data!B28*40)),"-")</f>
        <v/>
      </c>
      <c r="C32" s="21">
        <f>IFERROR(IF(OR(NOT(ISNUMBER(Data!C14)),NOT(ISNUMBER(Data!C28))),"-",Data!C14/(Data!C28*40)),"-")</f>
        <v/>
      </c>
      <c r="D32" s="21">
        <f>IFERROR(IF(OR(NOT(ISNUMBER(Data!D14)),NOT(ISNUMBER(Data!D28))),"-",Data!D14/(Data!D28*40)),"-")</f>
        <v/>
      </c>
      <c r="E32" s="21">
        <f>IFERROR(IF(OR(NOT(ISNUMBER(Data!E14)),NOT(ISNUMBER(Data!E28))),"-",Data!E14/(Data!E28*40)),"-")</f>
        <v/>
      </c>
      <c r="F32" s="21">
        <f>IFERROR(IF(OR(NOT(ISNUMBER(Data!F14)),NOT(ISNUMBER(Data!F28))),"-",Data!F14/(Data!F28*40)),"-")</f>
        <v/>
      </c>
      <c r="G32" s="21">
        <f>IFERROR(IF(OR(NOT(ISNUMBER(Data!G14)),NOT(ISNUMBER(Data!G28))),"-",Data!G14/(Data!G28*40)),"-")</f>
        <v/>
      </c>
      <c r="H32" s="21">
        <f>IFERROR(IF(OR(NOT(ISNUMBER(Data!H14)),NOT(ISNUMBER(Data!H28))),"-",Data!H14/(Data!H28*10)),"-")</f>
        <v/>
      </c>
      <c r="I32" s="21">
        <f>IFERROR(IF(OR(NOT(ISNUMBER(Data!I14)),NOT(ISNUMBER(Data!I28))),"-",Data!I14/(Data!I28*10)),"-")</f>
        <v/>
      </c>
      <c r="J32" s="21">
        <f>IFERROR(IF(OR(NOT(ISNUMBER(Data!J14)),NOT(ISNUMBER(Data!J28))),"-",Data!J14/(Data!J28*10)),"-")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461">
        <f>IFERROR(IF(OR(NOT(ISNUMBER(Data!T14)),NOT(ISNUMBER(Data!U14)),NOT(ISNUMBER(Data!V14)),NOT(ISNUMBER(Data!W14)),NOT(ISNUMBER(Data!W28))),"-",(Data!T14+Data!U14+Data!V14+Data!W14)/Data!W28),"-")</f>
        <v/>
      </c>
      <c r="X32" s="461">
        <f>IFERROR(IF(OR(NOT(ISNUMBER(Data!U14)),NOT(ISNUMBER(Data!V14)),NOT(ISNUMBER(Data!W14)),NOT(ISNUMBER(Data!X14)),NOT(ISNUMBER(Data!X28))),"-",(Data!U14+Data!V14+Data!W14+Data!X14)/Data!X28),"-")</f>
        <v/>
      </c>
      <c r="Y32" s="461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IFERROR(IF(OR(NOT(ISNUMBER(Data!B27))),"-",(Data!B27/40)),"-")</f>
        <v/>
      </c>
      <c r="C33" s="2">
        <f>IFERROR(IF(OR(NOT(ISNUMBER(Data!C27))),"-",(Data!C27/40)),"-")</f>
        <v/>
      </c>
      <c r="D33" s="2">
        <f>IFERROR(IF(OR(NOT(ISNUMBER(Data!D27))),"-",(Data!D27/40)),"-")</f>
        <v/>
      </c>
      <c r="E33" s="2">
        <f>IFERROR(IF(OR(NOT(ISNUMBER(Data!E27))),"-",(Data!E27/40)),"-")</f>
        <v/>
      </c>
      <c r="F33" s="2">
        <f>IFERROR(IF(OR(NOT(ISNUMBER(Data!F27))),"-",(Data!F27/40)),"-")</f>
        <v/>
      </c>
      <c r="G33" s="2">
        <f>IFERROR(IF(OR(NOT(ISNUMBER(Data!G27))),"-",(Data!G27/40)),"-")</f>
        <v/>
      </c>
      <c r="H33" s="2">
        <f>IFERROR(IF(OR(NOT(ISNUMBER(Data!H27))),"-",(Data!H27/10)),"-")</f>
        <v/>
      </c>
      <c r="I33" s="2">
        <f>IFERROR(IF(OR(NOT(ISNUMBER(Data!I27))),"-",(Data!I27/10)),"-")</f>
        <v/>
      </c>
      <c r="J33" s="2">
        <f>IFERROR(IF(OR(NOT(ISNUMBER(Data!J27))),"-",(Data!J27/10)),"-")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463" t="n"/>
      <c r="X33" s="463" t="n"/>
      <c r="Y33" s="463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465" t="n"/>
      <c r="X36" s="465" t="n"/>
      <c r="Y36" s="465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465" t="n"/>
      <c r="X37" s="465" t="n"/>
      <c r="Y37" s="465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465" t="n"/>
      <c r="X38" s="465" t="n"/>
      <c r="Y38" s="465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465" t="n"/>
      <c r="X39" s="465" t="n"/>
      <c r="Y39" s="465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465" t="n"/>
      <c r="X40" s="465" t="n"/>
      <c r="Y40" s="465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465" t="n"/>
      <c r="X41" s="465" t="n"/>
      <c r="Y41" s="465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465" t="n"/>
      <c r="X42" s="465" t="n"/>
      <c r="Y42" s="465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465" t="n"/>
      <c r="X43" s="465" t="n"/>
      <c r="Y43" s="465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465" t="n"/>
      <c r="X44" s="465" t="n"/>
      <c r="Y44" s="465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461">
        <f>IFERROR(IF(OR(NOT(ISNUMBER(Data!W37)),NOT(ISNUMBER(Data!W38))),"-",Data!W37-Data!W38),"-")</f>
        <v/>
      </c>
      <c r="X48" s="461">
        <f>IFERROR(IF(OR(NOT(ISNUMBER(Data!X37)),NOT(ISNUMBER(Data!X38))),"-",Data!X37-Data!X38),"-")</f>
        <v/>
      </c>
      <c r="Y48" s="461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461">
        <f>IFERROR(IF(OR(NOT(ISNUMBER(Data!W37)),NOT(ISNUMBER(Data!W47)),NOT(ISNUMBER(Data!W38))),"-",(Data!W37-Data!W47)/Data!W38),"-")</f>
        <v/>
      </c>
      <c r="X49" s="461">
        <f>IFERROR(IF(OR(NOT(ISNUMBER(Data!X37)),NOT(ISNUMBER(Data!X47)),NOT(ISNUMBER(Data!X38))),"-",(Data!X37-Data!X47)/Data!X38),"-")</f>
        <v/>
      </c>
      <c r="Y49" s="461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461" t="n"/>
      <c r="X50" s="461" t="n"/>
      <c r="Y50" s="461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461">
        <f>IFERROR(IF(OR(NOT(ISNUMBER(Data!W32)),NOT(ISNUMBER(Data!W38))),"-",Data!W32/Data!W38),"-")</f>
        <v/>
      </c>
      <c r="X51" s="461">
        <f>IFERROR(IF(OR(NOT(ISNUMBER(Data!X32)),NOT(ISNUMBER(Data!X38))),"-",Data!X32/Data!X38),"-")</f>
        <v/>
      </c>
      <c r="Y51" s="461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461" t="n"/>
      <c r="X52" s="461" t="n"/>
      <c r="Y52" s="461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461" t="n"/>
      <c r="X53" s="461" t="n"/>
      <c r="Y53" s="461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461" t="n"/>
      <c r="X54" s="461" t="n"/>
      <c r="Y54" s="461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465" t="n"/>
      <c r="X58" s="465" t="n"/>
      <c r="Y58" s="465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465" t="n"/>
      <c r="X59" s="465" t="n"/>
      <c r="Y59" s="465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465" t="n"/>
      <c r="X60" s="465" t="n"/>
      <c r="Y60" s="465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465" t="n"/>
      <c r="X61" s="465" t="n"/>
      <c r="Y61" s="465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465" t="n"/>
      <c r="X62" s="465" t="n"/>
      <c r="Y62" s="465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465" t="n"/>
      <c r="X63" s="465" t="n"/>
      <c r="Y63" s="465" t="n"/>
    </row>
    <row r="64" ht="15" customHeight="1" s="74">
      <c r="A64" s="15" t="inlineStr">
        <is>
          <t>Cash Conversion Cycle (days)</t>
        </is>
      </c>
      <c r="B64" s="83">
        <f>IFERROR(IF(OR(NOT(ISNUMBER(Metrics!B59)),NOT(ISNUMBER(Metrics!B61)),NOT(ISNUMBER(Metrics!B63))),"-",Metrics!B59+Metrics!B61-Metrics!B63),"-")</f>
        <v/>
      </c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465" t="n"/>
      <c r="X64" s="465" t="n"/>
      <c r="Y64" s="465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461" t="n"/>
      <c r="X68" s="461" t="n"/>
      <c r="Y68" s="461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461" t="n"/>
      <c r="X69" s="461" t="n"/>
      <c r="Y69" s="461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461" t="n"/>
      <c r="X70" s="461" t="n"/>
      <c r="Y70" s="461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461" t="n"/>
      <c r="X71" s="461" t="n"/>
      <c r="Y71" s="461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461">
        <f>IFERROR(IF(OR(NOT(ISNUMBER(Data!T14)),NOT(ISNUMBER(Data!U14)),NOT(ISNUMBER(Data!V14)),NOT(ISNUMBER(Data!W14)),NOT(ISNUMBER(Data!W39))),"-",(Data!T14+Data!U14+Data!V14+Data!W14)/Data!W39),"-")</f>
        <v/>
      </c>
      <c r="X72" s="461">
        <f>IFERROR(IF(OR(NOT(ISNUMBER(Data!U14)),NOT(ISNUMBER(Data!V14)),NOT(ISNUMBER(Data!W14)),NOT(ISNUMBER(Data!X14)),NOT(ISNUMBER(Data!X39))),"-",(Data!U14+Data!V14+Data!W14+Data!X14)/Data!X39),"-")</f>
        <v/>
      </c>
      <c r="Y72" s="461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461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61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61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461" t="n"/>
      <c r="X74" s="461" t="n"/>
      <c r="Y74" s="461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461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61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61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461" t="n"/>
      <c r="X77" s="461" t="n"/>
      <c r="Y77" s="461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461" t="n"/>
      <c r="X78" s="461" t="n"/>
      <c r="Y78" s="461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461" t="n"/>
      <c r="X79" s="461" t="n"/>
      <c r="Y79" s="461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461">
        <f>IFERROR(IF(OR(NOT(ISNUMBER(Data!W36)),NOT(ISNUMBER(Data!T20)),NOT(ISNUMBER(Data!U20)),NOT(ISNUMBER(Data!V20)),NOT(ISNUMBER(Data!W20))),"-",Data!W36/(Data!T20+Data!U20+Data!V20+Data!W20)),"-")</f>
        <v/>
      </c>
      <c r="X80" s="461">
        <f>IFERROR(IF(OR(NOT(ISNUMBER(Data!X36)),NOT(ISNUMBER(Data!U20)),NOT(ISNUMBER(Data!V20)),NOT(ISNUMBER(Data!W20)),NOT(ISNUMBER(Data!X20))),"-",Data!X36/(Data!U20+Data!V20+Data!W20+Data!X20)),"-")</f>
        <v/>
      </c>
      <c r="Y80" s="461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461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61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61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465" t="n"/>
      <c r="X86" s="465" t="n"/>
      <c r="Y86" s="465" t="n"/>
    </row>
    <row r="87" ht="15" customHeight="1" s="74">
      <c r="A87" s="17" t="inlineStr">
        <is>
          <t>Dividend Yield (on current price)</t>
        </is>
      </c>
      <c r="B87" s="8">
        <f>IFERROR(IF(OR(NOT(ISNUMBER(Data!B55)),NOT(ISNUMBER(Data!B28)),NOT(ISNUMBER(Data!$B$8)),Data!B55=0),"-",ABS(Data!B55)/(Data!$B$8*Data!B28)),"-")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465" t="n"/>
      <c r="X87" s="465" t="n"/>
      <c r="Y87" s="465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465" t="n"/>
      <c r="X88" s="465" t="n"/>
      <c r="Y88" s="465" t="n"/>
    </row>
    <row r="89" ht="15" customHeight="1" s="74">
      <c r="A89" s="15" t="inlineStr">
        <is>
          <t>Buyback Yield</t>
        </is>
      </c>
      <c r="B89" s="89">
        <f>IFERROR(IF(OR(NOT(ISNUMBER(Data!B56)),NOT(ISNUMBER(Data!B28)),NOT(ISNUMBER(Data!$B$8)),Data!B56=0),"-",ABS(Data!B56)/(Data!$B$8*Data!B28)),"-")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465" t="n"/>
      <c r="X89" s="465" t="n"/>
      <c r="Y89" s="465" t="n"/>
    </row>
    <row r="90" ht="15" customHeight="1" s="74">
      <c r="A90" s="17" t="inlineStr">
        <is>
          <t>Total Shareholder Return Yield</t>
        </is>
      </c>
      <c r="B90" s="90">
        <f>IFERROR(IF(OR(NOT(ISNUMBER(Data!B28)),NOT(ISNUMBER(Data!$B$8))),"-",(ABS(Data!B55)+ABS(Data!B56))/(Data!$B$8*Data!B28)),"-")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465" t="n"/>
      <c r="X90" s="465" t="n"/>
      <c r="Y90" s="465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465" t="n"/>
      <c r="X91" s="465" t="n"/>
      <c r="Y91" s="465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IFERROR(IF(OR(NOT(ISNUMBER(Data!$B$8)),NOT(ISNUMBER(Data!B28)),NOT(ISNUMBER(Data!B14))),"-",(Data!$B$8*Data!B28)/Data!B14),"-")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IFERROR(IF(OR(NOT(ISNUMBER(Data!$B$8)),NOT(ISNUMBER(Metrics!B31))),"-",Data!$B$8/Metrics!B31),"-")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IFERROR(IF(OR(NOT(ISNUMBER(Data!$B$8)),NOT(ISNUMBER(Data!B28)),NOT(ISNUMBER(Data!B20))),"-",(Data!$B$8*Data!B28+Data!B36+Data!B42)/Data!B20),"-")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IFERROR(IF(OR(NOT(ISNUMBER(Data!$B$8)),NOT(ISNUMBER(Data!B28)),NOT(ISNUMBER(Data!B22))),"-",(Data!$B$8*Data!B28+Data!B36+Data!B42)/Data!B22),"-")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IFERROR(IF(OR(NOT(ISNUMBER(Metrics!B31)),NOT(ISNUMBER(Data!$B$8))),"-",Metrics!B31/Data!$B$8),"-")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461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61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61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461">
        <f>IFERROR(IF(OR(NOT(ISNUMBER(Data!T27)),NOT(ISNUMBER(Data!U27)),NOT(ISNUMBER(Data!V27)),NOT(ISNUMBER(Data!W27)),NOT(ISNUMBER(Data!$B$8))),"-",(Data!T27+Data!U27+Data!V27+Data!W27)/Data!$B$8),"-")</f>
        <v/>
      </c>
      <c r="X102" s="461">
        <f>IFERROR(IF(OR(NOT(ISNUMBER(Data!U27)),NOT(ISNUMBER(Data!V27)),NOT(ISNUMBER(Data!W27)),NOT(ISNUMBER(Data!X27)),NOT(ISNUMBER(Data!$B$8))),"-",(Data!U27+Data!V27+Data!W27+Data!X27)/Data!$B$8),"-")</f>
        <v/>
      </c>
      <c r="Y102" s="461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463" t="n"/>
      <c r="X103" s="463" t="n"/>
      <c r="Y103" s="463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461">
        <f>IFERROR(IF(OR(NOT(ISNUMBER(Data!W37)),NOT(ISNUMBER(Data!W38)),NOT(ISNUMBER(Data!W39))),"-",(Data!W37-Data!W38)/Data!W39),"-")</f>
        <v/>
      </c>
      <c r="X107" s="461">
        <f>IFERROR(IF(OR(NOT(ISNUMBER(Data!X37)),NOT(ISNUMBER(Data!X38)),NOT(ISNUMBER(Data!X39))),"-",(Data!X37-Data!X38)/Data!X39),"-")</f>
        <v/>
      </c>
      <c r="Y107" s="461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461">
        <f>IFERROR(IF(OR(NOT(ISNUMBER(Data!W48)),NOT(ISNUMBER(Data!W39))),"-",Data!W48/Data!W39),"-")</f>
        <v/>
      </c>
      <c r="X108" s="461">
        <f>IFERROR(IF(OR(NOT(ISNUMBER(Data!X48)),NOT(ISNUMBER(Data!X39))),"-",Data!X48/Data!X39),"-")</f>
        <v/>
      </c>
      <c r="Y108" s="461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461">
        <f>IFERROR(IF(OR(NOT(ISNUMBER(Data!W41)),NOT(ISNUMBER(Data!W40))),"-",Data!W41/Data!W40),"-")</f>
        <v/>
      </c>
      <c r="X110" s="461">
        <f>IFERROR(IF(OR(NOT(ISNUMBER(Data!X41)),NOT(ISNUMBER(Data!X40))),"-",Data!X41/Data!X40),"-")</f>
        <v/>
      </c>
      <c r="Y110" s="461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461">
        <f>IFERROR(IF(OR(NOT(ISNUMBER(Data!T14)),NOT(ISNUMBER(Data!U14)),NOT(ISNUMBER(Data!V14)),NOT(ISNUMBER(Data!W14)),NOT(ISNUMBER(Data!W39))),"-",(Data!T14+Data!U14+Data!V14+Data!W14)/Data!W39),"-")</f>
        <v/>
      </c>
      <c r="X111" s="461">
        <f>IFERROR(IF(OR(NOT(ISNUMBER(Data!U14)),NOT(ISNUMBER(Data!V14)),NOT(ISNUMBER(Data!W14)),NOT(ISNUMBER(Data!X14)),NOT(ISNUMBER(Data!X39))),"-",(Data!U14+Data!V14+Data!W14+Data!X14)/Data!X39),"-")</f>
        <v/>
      </c>
      <c r="Y111" s="461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461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61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61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461" t="n"/>
      <c r="X113" s="461" t="n"/>
      <c r="Y113" s="461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463" t="n"/>
      <c r="X114" s="463" t="n"/>
      <c r="Y114" s="463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461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61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61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461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61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61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461">
        <f>IFERROR(IF(OR(NOT(ISNUMBER(Data!W39)),NOT(ISNUMBER(Data!W41))),"-",Data!W39/Data!W41),"-")</f>
        <v/>
      </c>
      <c r="X120" s="461">
        <f>IFERROR(IF(OR(NOT(ISNUMBER(Data!X39)),NOT(ISNUMBER(Data!X41))),"-",Data!X39/Data!X41),"-")</f>
        <v/>
      </c>
      <c r="Y120" s="461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461" t="n"/>
      <c r="X121" s="461" t="n"/>
      <c r="Y121" s="461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461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61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61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461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61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61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461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61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61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461" t="n"/>
      <c r="X126" s="461" t="n"/>
      <c r="Y126" s="461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467">
        <f>IFERROR(IF(OR(NOT(ISNUMBER(Data!W14)),NOT(ISNUMBER(Data!V14))),"-",(Data!W14-Data!V14)/ABS(Data!V14)),"-")</f>
        <v/>
      </c>
      <c r="X130" s="467">
        <f>IFERROR(IF(OR(NOT(ISNUMBER(Data!X14)),NOT(ISNUMBER(Data!W14))),"-",(Data!X14-Data!W14)/ABS(Data!W14)),"-")</f>
        <v/>
      </c>
      <c r="Y130" s="467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467">
        <f>IFERROR(IF(OR(NOT(ISNUMBER(Data!W26)),NOT(ISNUMBER(Data!V26))),"-",(Data!W26-Data!V26)/ABS(Data!V26)),"-")</f>
        <v/>
      </c>
      <c r="X131" s="467">
        <f>IFERROR(IF(OR(NOT(ISNUMBER(Data!X26)),NOT(ISNUMBER(Data!W26))),"-",(Data!X26-Data!W26)/ABS(Data!W26)),"-")</f>
        <v/>
      </c>
      <c r="Y131" s="467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467">
        <f>IFERROR(IF(OR(NOT(ISNUMBER(Data!W27)),NOT(ISNUMBER(Data!V27))),"-",(Data!W27-Data!V27)/ABS(Data!V27)),"-")</f>
        <v/>
      </c>
      <c r="X132" s="467">
        <f>IFERROR(IF(OR(NOT(ISNUMBER(Data!X27)),NOT(ISNUMBER(Data!W27))),"-",(Data!X27-Data!W27)/ABS(Data!W27)),"-")</f>
        <v/>
      </c>
      <c r="Y132" s="467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467">
        <f>IFERROR(IF(OR(NOT(ISNUMBER(Data!W20)),NOT(ISNUMBER(Data!V20))),"-",(Data!W20-Data!V20)/ABS(Data!V20)),"-")</f>
        <v/>
      </c>
      <c r="X133" s="467">
        <f>IFERROR(IF(OR(NOT(ISNUMBER(Data!X20)),NOT(ISNUMBER(Data!W20))),"-",(Data!X20-Data!W20)/ABS(Data!W20)),"-")</f>
        <v/>
      </c>
      <c r="Y133" s="467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467">
        <f>IFERROR(IF(OR(NOT(ISNUMBER(Data!W53)),NOT(ISNUMBER(Data!V53))),"-",(Data!W53-Data!V53)/ABS(Data!V53)),"-")</f>
        <v/>
      </c>
      <c r="X134" s="467">
        <f>IFERROR(IF(OR(NOT(ISNUMBER(Data!X53)),NOT(ISNUMBER(Data!W53))),"-",(Data!X53-Data!W53)/ABS(Data!W53)),"-")</f>
        <v/>
      </c>
      <c r="Y134" s="467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467">
        <f>IFERROR(IF(OR(NOT(ISNUMBER(Data!W14)),NOT(ISNUMBER(Data!S14))),"-",(Data!W14-Data!S14)/ABS(Data!S14)),"-")</f>
        <v/>
      </c>
      <c r="X137" s="467">
        <f>IFERROR(IF(OR(NOT(ISNUMBER(Data!X14)),NOT(ISNUMBER(Data!T14))),"-",(Data!X14-Data!T14)/ABS(Data!T14)),"-")</f>
        <v/>
      </c>
      <c r="Y137" s="467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467">
        <f>IFERROR(IF(OR(NOT(ISNUMBER(Data!W26)),NOT(ISNUMBER(Data!S26))),"-",(Data!W26-Data!S26)/ABS(Data!S26)),"-")</f>
        <v/>
      </c>
      <c r="X138" s="467">
        <f>IFERROR(IF(OR(NOT(ISNUMBER(Data!X26)),NOT(ISNUMBER(Data!T26))),"-",(Data!X26-Data!T26)/ABS(Data!T26)),"-")</f>
        <v/>
      </c>
      <c r="Y138" s="467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467">
        <f>IFERROR(IF(OR(NOT(ISNUMBER(Data!W27)),NOT(ISNUMBER(Data!S27))),"-",(Data!W27-Data!S27)/ABS(Data!S27)),"-")</f>
        <v/>
      </c>
      <c r="X139" s="467">
        <f>IFERROR(IF(OR(NOT(ISNUMBER(Data!X27)),NOT(ISNUMBER(Data!T27))),"-",(Data!X27-Data!T27)/ABS(Data!T27)),"-")</f>
        <v/>
      </c>
      <c r="Y139" s="467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467">
        <f>IFERROR(IF(OR(NOT(ISNUMBER(Data!W20)),NOT(ISNUMBER(Data!S20))),"-",(Data!W20-Data!S20)/ABS(Data!S20)),"-")</f>
        <v/>
      </c>
      <c r="X140" s="467">
        <f>IFERROR(IF(OR(NOT(ISNUMBER(Data!X20)),NOT(ISNUMBER(Data!T20))),"-",(Data!X20-Data!T20)/ABS(Data!T20)),"-")</f>
        <v/>
      </c>
      <c r="Y140" s="467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467">
        <f>IFERROR(IF(OR(NOT(ISNUMBER(Data!W53)),NOT(ISNUMBER(Data!S53))),"-",(Data!W53-Data!S53)/ABS(Data!S53)),"-")</f>
        <v/>
      </c>
      <c r="X141" s="467">
        <f>IFERROR(IF(OR(NOT(ISNUMBER(Data!X53)),NOT(ISNUMBER(Data!T53))),"-",(Data!X53-Data!T53)/ABS(Data!T53)),"-")</f>
        <v/>
      </c>
      <c r="Y141" s="467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467">
        <f>IFERROR(IF(OR(NOT(ISNUMBER(Data!W16)),NOT(ISNUMBER(Data!W14))),"-",Data!W16/Data!W14),"-")</f>
        <v/>
      </c>
      <c r="X144" s="467">
        <f>IFERROR(IF(OR(NOT(ISNUMBER(Data!X16)),NOT(ISNUMBER(Data!X14))),"-",Data!X16/Data!X14),"-")</f>
        <v/>
      </c>
      <c r="Y144" s="467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467">
        <f>IFERROR(IF(OR(NOT(ISNUMBER(Data!W20)),NOT(ISNUMBER(Data!W14))),"-",Data!W20/Data!W14),"-")</f>
        <v/>
      </c>
      <c r="X145" s="467">
        <f>IFERROR(IF(OR(NOT(ISNUMBER(Data!X20)),NOT(ISNUMBER(Data!X14))),"-",Data!X20/Data!X14),"-")</f>
        <v/>
      </c>
      <c r="Y145" s="467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467">
        <f>IFERROR(IF(OR(NOT(ISNUMBER(Data!W22)),NOT(ISNUMBER(Data!W14))),"-",Data!W22/Data!W14),"-")</f>
        <v/>
      </c>
      <c r="X146" s="467">
        <f>IFERROR(IF(OR(NOT(ISNUMBER(Data!X22)),NOT(ISNUMBER(Data!X14))),"-",Data!X22/Data!X14),"-")</f>
        <v/>
      </c>
      <c r="Y146" s="467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467">
        <f>IFERROR(IF(OR(NOT(ISNUMBER(Data!W26)),NOT(ISNUMBER(Data!W14))),"-",Data!W26/Data!W14),"-")</f>
        <v/>
      </c>
      <c r="X147" s="467">
        <f>IFERROR(IF(OR(NOT(ISNUMBER(Data!X26)),NOT(ISNUMBER(Data!X14))),"-",Data!X26/Data!X14),"-")</f>
        <v/>
      </c>
      <c r="Y147" s="467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467">
        <f>IFERROR(IF(OR(NOT(ISNUMBER(Data!W53)),NOT(ISNUMBER(Data!W14))),"-",Data!W53/Data!W14),"-")</f>
        <v/>
      </c>
      <c r="X148" s="467">
        <f>IFERROR(IF(OR(NOT(ISNUMBER(Data!X53)),NOT(ISNUMBER(Data!X14))),"-",Data!X53/Data!X14),"-")</f>
        <v/>
      </c>
      <c r="Y148" s="467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IFERROR(IF(OR(NOT(ISNUMBER(Data!L27)),NOT(ISNUMBER(Data!I27)),Data!I27&lt;=0),"-",(Data!L27/(Data!I27/10))^(1/3)-1),"-")</f>
        <v/>
      </c>
      <c r="C156" s="81">
        <f>IFERROR(IF(OR(NOT(ISNUMBER(Data!L27)),NOT(ISNUMBER(Data!G27)),Data!G27&lt;=0),"-",(Data!L27/(Data!G27/40))^(1/5)-1),"-")</f>
        <v/>
      </c>
      <c r="D156" s="81">
        <f>IFERROR(IF(OR(NOT(ISNUMBER(Data!L27)),NOT(ISNUMBER(Data!B27)),Data!B27&lt;=0,Data!L27&lt;0),"-",(Data!L27/(Data!B27/40))^(1/10)-1),"-")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IFERROR(IF(OR(NOT(ISNUMBER(Data!L55)),NOT(ISNUMBER(Data!L28)),NOT(ISNUMBER(Data!I55)),NOT(ISNUMBER(Data!I28))),"-",((ABS(Data!L55)/Data!L28)/(ABS(Data!I55)/(Data!I28*10)))^(1/3)-1),"-")</f>
        <v/>
      </c>
      <c r="C159" s="84">
        <f>IFERROR(IF(OR(NOT(ISNUMBER(Data!L55)),NOT(ISNUMBER(Data!L28)),NOT(ISNUMBER(Data!G55)),NOT(ISNUMBER(Data!G28))),"-",((ABS(Data!L55)/Data!L28)/(ABS(Data!G55)/(Data!G28*40)))^(1/5)-1),"-")</f>
        <v/>
      </c>
      <c r="D159" s="84">
        <f>IFERROR(IF(OR(NOT(ISNUMBER(Data!L55)),NOT(ISNUMBER(Data!L28)),NOT(ISNUMBER(Data!B55)),NOT(ISNUMBER(Data!B28))),"-",((ABS(Data!L55)/Data!L28)/(ABS(Data!B55)/(Data!B28*40)))^(1/10)-1),"-")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IFERROR(IF(OR(NOT(ISNUMBER(Data!L28)),NOT(ISNUMBER(Data!I28)),Data!I28&lt;=0),"-",(Data!L28/(Data!I28*10))^(1/3)-1),"-")</f>
        <v/>
      </c>
      <c r="C160" s="84">
        <f>IFERROR(IF(OR(NOT(ISNUMBER(Data!L28)),NOT(ISNUMBER(Data!G28)),Data!G28&lt;=0),"-",(Data!L28/(Data!G28*40))^(1/5)-1),"-")</f>
        <v/>
      </c>
      <c r="D160" s="84">
        <f>IFERROR(IF(OR(NOT(ISNUMBER(Data!L28)),NOT(ISNUMBER(Data!B28)),Data!B28&lt;=0,Data!L28&lt;0),"-",(Data!L28/(Data!B28*40))^(1/10)-1),"-")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38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Advanced Micro Devices, Inc.</t>
        </is>
      </c>
      <c r="C2" s="279" t="inlineStr">
        <is>
          <t>Intel Corporation</t>
        </is>
      </c>
      <c r="D2" s="279" t="n"/>
      <c r="E2" s="279" t="n"/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AMD</t>
        </is>
      </c>
      <c r="C3" s="425" t="inlineStr">
        <is>
          <t>INTC</t>
        </is>
      </c>
      <c r="D3" s="425" t="n"/>
      <c r="E3" s="425" t="n"/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FY2024</t>
        </is>
      </c>
      <c r="C7" s="425" t="inlineStr">
        <is>
          <t>FY2025</t>
        </is>
      </c>
      <c r="D7" s="425" t="n"/>
      <c r="E7" s="425" t="n"/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25785</v>
      </c>
      <c r="C10" s="427" t="n">
        <v>52853</v>
      </c>
      <c r="D10" s="427" t="n"/>
      <c r="E10" s="427" t="n"/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7.4</v>
      </c>
      <c r="C11" s="428" t="n">
        <v>-4.2</v>
      </c>
      <c r="D11" s="428" t="n"/>
      <c r="E11" s="428" t="n"/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19.3</v>
      </c>
      <c r="C12" s="429" t="n">
        <v>18</v>
      </c>
      <c r="D12" s="429" t="n"/>
      <c r="E12" s="429" t="n"/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6.4</v>
      </c>
      <c r="C13" s="428" t="n">
        <v>-0.5</v>
      </c>
      <c r="D13" s="428" t="n"/>
      <c r="E13" s="428" t="n"/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49.4</v>
      </c>
      <c r="C14" s="429" t="n">
        <v>34.8</v>
      </c>
      <c r="D14" s="429" t="n"/>
      <c r="E14" s="429" t="n"/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9.300000000000001</v>
      </c>
      <c r="C15" s="428" t="n">
        <v>-9.4</v>
      </c>
      <c r="D15" s="428" t="n"/>
      <c r="E15" s="428" t="n"/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2.8</v>
      </c>
      <c r="C17" s="429" t="n"/>
      <c r="D17" s="429" t="n"/>
      <c r="E17" s="429" t="n"/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2.9</v>
      </c>
      <c r="C18" s="428" t="n">
        <v>-0.2</v>
      </c>
      <c r="D18" s="428" t="n"/>
      <c r="E18" s="428" t="n"/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2.4</v>
      </c>
      <c r="C19" s="429" t="n">
        <v>-0.1</v>
      </c>
      <c r="D19" s="429" t="n"/>
      <c r="E19" s="429" t="n"/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0.372</v>
      </c>
      <c r="C20" s="430" t="n">
        <v>0.25</v>
      </c>
      <c r="D20" s="430" t="n"/>
      <c r="E20" s="430" t="n"/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-0.7</v>
      </c>
      <c r="C22" s="431" t="n">
        <v>1</v>
      </c>
      <c r="D22" s="431" t="n"/>
      <c r="E22" s="431" t="n"/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0.03</v>
      </c>
      <c r="C23" s="430" t="n">
        <v>0.408</v>
      </c>
      <c r="D23" s="430" t="n"/>
      <c r="E23" s="430" t="n"/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20.7</v>
      </c>
      <c r="C24" s="429" t="n"/>
      <c r="D24" s="429" t="n"/>
      <c r="E24" s="429" t="n"/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2.62</v>
      </c>
      <c r="C25" s="430" t="n">
        <v>2.02</v>
      </c>
      <c r="D25" s="430" t="n"/>
      <c r="E25" s="430" t="n"/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/>
      <c r="C27" s="429" t="n"/>
      <c r="D27" s="429" t="n"/>
      <c r="E27" s="429" t="n"/>
      <c r="F27" s="284" t="n"/>
      <c r="G27" s="284" t="n"/>
      <c r="H27" s="284" t="n"/>
      <c r="I27" s="284" t="n"/>
      <c r="J27" s="284" t="n"/>
      <c r="K27" s="284" t="n"/>
      <c r="L27" s="284" t="n"/>
      <c r="M27" s="309" t="n"/>
    </row>
    <row r="28" ht="17" customHeight="1" s="74">
      <c r="A28" s="259" t="inlineStr">
        <is>
          <t>P / E</t>
        </is>
      </c>
      <c r="B28" s="428" t="n"/>
      <c r="C28" s="428" t="n"/>
      <c r="D28" s="428" t="n"/>
      <c r="E28" s="428" t="n"/>
      <c r="F28" s="284" t="n"/>
      <c r="G28" s="284" t="n"/>
      <c r="H28" s="284" t="n"/>
      <c r="I28" s="284" t="n"/>
      <c r="J28" s="284" t="n"/>
      <c r="K28" s="284" t="n"/>
      <c r="L28" s="284" t="n"/>
      <c r="M28" s="309" t="n"/>
    </row>
    <row r="29" ht="17" customHeight="1" s="74">
      <c r="A29" s="263" t="inlineStr">
        <is>
          <t>FCF Yield</t>
        </is>
      </c>
      <c r="B29" s="429" t="n">
        <v>0.3</v>
      </c>
      <c r="C29" s="429" t="n">
        <v>-1.1</v>
      </c>
      <c r="D29" s="429" t="n"/>
      <c r="E29" s="429" t="n"/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87.7</v>
      </c>
      <c r="C31" s="428" t="n">
        <v>26.5</v>
      </c>
      <c r="D31" s="428" t="n"/>
      <c r="E31" s="428" t="n"/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160.3</v>
      </c>
      <c r="C32" s="429" t="n">
        <v>123</v>
      </c>
      <c r="D32" s="429" t="n"/>
      <c r="E32" s="429" t="n"/>
      <c r="F32" s="284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55.6</v>
      </c>
      <c r="C33" s="428" t="n">
        <v>104.6</v>
      </c>
      <c r="D33" s="428" t="n"/>
      <c r="E33" s="428" t="n"/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192.4</v>
      </c>
      <c r="C34" s="429" t="n">
        <v>44.9</v>
      </c>
      <c r="D34" s="429" t="n"/>
      <c r="E34" s="429" t="n"/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2.5</v>
      </c>
      <c r="C35" s="428" t="n">
        <v>27.7</v>
      </c>
      <c r="D35" s="428" t="n"/>
      <c r="E35" s="428" t="n"/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55" t="n"/>
      <c r="B36" s="456" t="n"/>
      <c r="C36" s="456" t="n"/>
      <c r="D36" s="456" t="n"/>
      <c r="E36" s="456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55" t="n"/>
      <c r="B37" s="456" t="n"/>
      <c r="C37" s="456" t="n"/>
      <c r="D37" s="456" t="n"/>
      <c r="E37" s="456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55" t="n"/>
      <c r="B38" s="456" t="n"/>
      <c r="C38" s="456" t="n"/>
      <c r="D38" s="456" t="n"/>
      <c r="E38" s="456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55" t="n"/>
      <c r="B39" s="456" t="n"/>
      <c r="C39" s="456" t="n"/>
      <c r="D39" s="456" t="n"/>
      <c r="E39" s="456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55" t="n"/>
      <c r="B40" s="456" t="n"/>
      <c r="C40" s="456" t="n"/>
      <c r="D40" s="456" t="n"/>
      <c r="E40" s="456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55" t="n"/>
      <c r="B41" s="456" t="n"/>
      <c r="C41" s="456" t="n"/>
      <c r="D41" s="456" t="n"/>
      <c r="E41" s="456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55" t="n"/>
      <c r="B42" s="456" t="n"/>
      <c r="C42" s="456" t="n"/>
      <c r="D42" s="456" t="n"/>
      <c r="E42" s="456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55" t="n"/>
      <c r="B43" s="456" t="n"/>
      <c r="C43" s="456" t="n"/>
      <c r="D43" s="456" t="n"/>
      <c r="E43" s="456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55" t="n"/>
      <c r="B44" s="456" t="n"/>
      <c r="C44" s="456" t="n"/>
      <c r="D44" s="456" t="n"/>
      <c r="E44" s="456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55" t="n"/>
      <c r="B45" s="456" t="n"/>
      <c r="C45" s="456" t="n"/>
      <c r="D45" s="456" t="n"/>
      <c r="E45" s="456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55" t="n"/>
      <c r="B46" s="456" t="n"/>
      <c r="C46" s="456" t="n"/>
      <c r="D46" s="456" t="n"/>
      <c r="E46" s="456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55" t="n"/>
      <c r="B47" s="456" t="n"/>
      <c r="C47" s="456" t="n"/>
      <c r="D47" s="456" t="n"/>
      <c r="E47" s="456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55" t="n"/>
      <c r="B48" s="456" t="n"/>
      <c r="C48" s="456" t="n"/>
      <c r="D48" s="456" t="n"/>
      <c r="E48" s="456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47" t="n"/>
      <c r="C49" s="447" t="n"/>
      <c r="D49" s="447" t="n"/>
      <c r="E49" s="447" t="n"/>
    </row>
    <row r="50" ht="17" customHeight="1" s="74">
      <c r="A50" s="310" t="inlineStr">
        <is>
          <t>Revenue</t>
        </is>
      </c>
      <c r="B50" s="311" t="inlineStr">
        <is>
          <t>PERIOD_LAG_13M</t>
        </is>
      </c>
      <c r="C50" s="311" t="inlineStr">
        <is>
          <t>OK</t>
        </is>
      </c>
      <c r="D50" s="458" t="n"/>
      <c r="E50" s="458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ACQ_AMORT_DEPRESSED</t>
        </is>
      </c>
      <c r="C51" s="311" t="inlineStr">
        <is>
          <t>OPERATING_LOSS</t>
        </is>
      </c>
      <c r="D51" s="458" t="n"/>
      <c r="E51" s="458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COMPUTED</t>
        </is>
      </c>
      <c r="C52" s="311" t="inlineStr">
        <is>
          <t>COMPUTED_TROUGH</t>
        </is>
      </c>
      <c r="D52" s="458" t="n"/>
      <c r="E52" s="458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458" t="n"/>
      <c r="C53" s="311" t="inlineStr">
        <is>
          <t>NET_LOSS_DIVEST_GAIN</t>
        </is>
      </c>
      <c r="D53" s="458" t="n"/>
      <c r="E53" s="458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458" t="n"/>
      <c r="C54" s="458" t="n"/>
      <c r="D54" s="458" t="n"/>
      <c r="E54" s="458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458" t="n"/>
      <c r="C55" s="458" t="n"/>
      <c r="D55" s="458" t="n"/>
      <c r="E55" s="458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311" t="inlineStr">
        <is>
          <t>COMPUTED_GOODWILL_INFLATED</t>
        </is>
      </c>
      <c r="C56" s="458" t="n"/>
      <c r="D56" s="458" t="n"/>
      <c r="E56" s="458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458" t="n"/>
      <c r="C57" s="458" t="n"/>
      <c r="D57" s="458" t="n"/>
      <c r="E57" s="458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58" t="n"/>
      <c r="C58" s="458" t="n"/>
      <c r="D58" s="458" t="n"/>
      <c r="E58" s="458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58" t="n"/>
      <c r="C59" s="458" t="n"/>
      <c r="D59" s="458" t="n"/>
      <c r="E59" s="458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58" t="n"/>
      <c r="C60" s="458" t="n"/>
      <c r="D60" s="458" t="n"/>
      <c r="E60" s="458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NOT_MEANINGFUL</t>
        </is>
      </c>
      <c r="C61" s="311" t="inlineStr">
        <is>
          <t>NOT_MEANINGFUL</t>
        </is>
      </c>
      <c r="D61" s="458" t="n"/>
      <c r="E61" s="458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NOT_MEANINGFUL</t>
        </is>
      </c>
      <c r="C62" s="311" t="inlineStr">
        <is>
          <t>NOT_MEANINGFUL</t>
        </is>
      </c>
      <c r="D62" s="458" t="n"/>
      <c r="E62" s="458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4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NVDA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13.3138303459</v>
      </c>
      <c r="C3" s="308" t="n">
        <v>321.5860184424</v>
      </c>
    </row>
    <row r="4">
      <c r="A4" s="308" t="inlineStr">
        <is>
          <t>2020-09</t>
        </is>
      </c>
      <c r="B4" s="308" t="n">
        <v>13.4730208574</v>
      </c>
      <c r="C4" s="308" t="n">
        <v>309.5592456058</v>
      </c>
    </row>
    <row r="5">
      <c r="A5" s="308" t="inlineStr">
        <is>
          <t>2020-10</t>
        </is>
      </c>
      <c r="B5" s="308" t="n">
        <v>12.4807541057</v>
      </c>
      <c r="C5" s="308" t="n">
        <v>301.8408314973</v>
      </c>
    </row>
    <row r="6">
      <c r="A6" s="308" t="inlineStr">
        <is>
          <t>2020-11</t>
        </is>
      </c>
      <c r="B6" s="308" t="n">
        <v>13.3445688645</v>
      </c>
      <c r="C6" s="308" t="n">
        <v>334.6741331902</v>
      </c>
    </row>
    <row r="7">
      <c r="A7" s="308" t="inlineStr">
        <is>
          <t>2020-12</t>
        </is>
      </c>
      <c r="B7" s="308" t="n">
        <v>13.0034224555</v>
      </c>
      <c r="C7" s="308" t="n">
        <v>347.0791635841</v>
      </c>
    </row>
    <row r="8">
      <c r="A8" s="308" t="inlineStr">
        <is>
          <t>2021-01</t>
        </is>
      </c>
      <c r="B8" s="308" t="n">
        <v>12.9384302445</v>
      </c>
      <c r="C8" s="308" t="n">
        <v>343.5422757772</v>
      </c>
    </row>
    <row r="9">
      <c r="A9" s="308" t="inlineStr">
        <is>
          <t>2021-02</t>
        </is>
      </c>
      <c r="B9" s="308" t="n">
        <v>13.6603169105</v>
      </c>
      <c r="C9" s="308" t="n">
        <v>353.0946578069</v>
      </c>
    </row>
    <row r="10">
      <c r="A10" s="308" t="inlineStr">
        <is>
          <t>2021-03</t>
        </is>
      </c>
      <c r="B10" s="308" t="n">
        <v>13.29976157</v>
      </c>
      <c r="C10" s="308" t="n">
        <v>369.1269350071</v>
      </c>
    </row>
    <row r="11">
      <c r="A11" s="308" t="inlineStr">
        <is>
          <t>2021-04</t>
        </is>
      </c>
      <c r="B11" s="308" t="n">
        <v>14.9549769659</v>
      </c>
      <c r="C11" s="308" t="n">
        <v>388.6576085041</v>
      </c>
    </row>
    <row r="12">
      <c r="A12" s="308" t="inlineStr">
        <is>
          <t>2021-05</t>
        </is>
      </c>
      <c r="B12" s="308" t="n">
        <v>16.185490744</v>
      </c>
      <c r="C12" s="308" t="n">
        <v>391.2095419988</v>
      </c>
    </row>
    <row r="13">
      <c r="A13" s="308" t="inlineStr">
        <is>
          <t>2021-06</t>
        </is>
      </c>
      <c r="B13" s="308" t="n">
        <v>19.9344321442</v>
      </c>
      <c r="C13" s="308" t="n">
        <v>400.0010900298</v>
      </c>
    </row>
    <row r="14">
      <c r="A14" s="308" t="inlineStr">
        <is>
          <t>2021-07</t>
        </is>
      </c>
      <c r="B14" s="308" t="n">
        <v>19.4326455383</v>
      </c>
      <c r="C14" s="308" t="n">
        <v>409.766102857</v>
      </c>
    </row>
    <row r="15">
      <c r="A15" s="308" t="inlineStr">
        <is>
          <t>2021-08</t>
        </is>
      </c>
      <c r="B15" s="308" t="n">
        <v>22.3128109624</v>
      </c>
      <c r="C15" s="308" t="n">
        <v>421.9606882536</v>
      </c>
    </row>
    <row r="16">
      <c r="A16" s="308" t="inlineStr">
        <is>
          <t>2021-09</t>
        </is>
      </c>
      <c r="B16" s="308" t="n">
        <v>20.6491932945</v>
      </c>
      <c r="C16" s="308" t="n">
        <v>402.3077362055</v>
      </c>
    </row>
    <row r="17">
      <c r="A17" s="308" t="inlineStr">
        <is>
          <t>2021-10</t>
        </is>
      </c>
      <c r="B17" s="308" t="n">
        <v>25.4845493802</v>
      </c>
      <c r="C17" s="308" t="n">
        <v>430.5350884382</v>
      </c>
    </row>
    <row r="18">
      <c r="A18" s="308" t="inlineStr">
        <is>
          <t>2021-11</t>
        </is>
      </c>
      <c r="B18" s="308" t="n">
        <v>32.5706236769</v>
      </c>
      <c r="C18" s="308" t="n">
        <v>427.0758081414</v>
      </c>
    </row>
    <row r="19">
      <c r="A19" s="308" t="inlineStr">
        <is>
          <t>2021-12</t>
        </is>
      </c>
      <c r="B19" s="308" t="n">
        <v>29.3198833082</v>
      </c>
      <c r="C19" s="308" t="n">
        <v>446.8444096561</v>
      </c>
    </row>
    <row r="20">
      <c r="A20" s="308" t="inlineStr">
        <is>
          <t>2022-01</t>
        </is>
      </c>
      <c r="B20" s="308" t="n">
        <v>24.410141195</v>
      </c>
      <c r="C20" s="308" t="n">
        <v>423.2772619766</v>
      </c>
    </row>
    <row r="21">
      <c r="A21" s="308" t="inlineStr">
        <is>
          <t>2022-02</t>
        </is>
      </c>
      <c r="B21" s="308" t="n">
        <v>24.3094540978</v>
      </c>
      <c r="C21" s="308" t="n">
        <v>410.7833808913</v>
      </c>
    </row>
    <row r="22">
      <c r="A22" s="308" t="inlineStr">
        <is>
          <t>2022-03</t>
        </is>
      </c>
      <c r="B22" s="308" t="n">
        <v>27.2059590578</v>
      </c>
      <c r="C22" s="308" t="n">
        <v>426.21058511</v>
      </c>
    </row>
    <row r="23">
      <c r="A23" s="308" t="inlineStr">
        <is>
          <t>2022-04</t>
        </is>
      </c>
      <c r="B23" s="308" t="n">
        <v>18.4925941012</v>
      </c>
      <c r="C23" s="308" t="n">
        <v>388.8024999232</v>
      </c>
    </row>
    <row r="24">
      <c r="A24" s="308" t="inlineStr">
        <is>
          <t>2022-05</t>
        </is>
      </c>
      <c r="B24" s="308" t="n">
        <v>18.6172274253</v>
      </c>
      <c r="C24" s="308" t="n">
        <v>389.6801366342</v>
      </c>
    </row>
    <row r="25">
      <c r="A25" s="308" t="inlineStr">
        <is>
          <t>2022-06</t>
        </is>
      </c>
      <c r="B25" s="308" t="n">
        <v>15.1177745544</v>
      </c>
      <c r="C25" s="308" t="n">
        <v>357.543498354</v>
      </c>
    </row>
    <row r="26">
      <c r="A26" s="308" t="inlineStr">
        <is>
          <t>2022-07</t>
        </is>
      </c>
      <c r="B26" s="308" t="n">
        <v>18.1136050684</v>
      </c>
      <c r="C26" s="308" t="n">
        <v>390.4687763734</v>
      </c>
    </row>
    <row r="27">
      <c r="A27" s="308" t="inlineStr">
        <is>
          <t>2022-08</t>
        </is>
      </c>
      <c r="B27" s="308" t="n">
        <v>15.0529513243</v>
      </c>
      <c r="C27" s="308" t="n">
        <v>374.536884505</v>
      </c>
    </row>
    <row r="28">
      <c r="A28" s="308" t="inlineStr">
        <is>
          <t>2022-09</t>
        </is>
      </c>
      <c r="B28" s="308" t="n">
        <v>12.1095185396</v>
      </c>
      <c r="C28" s="308" t="n">
        <v>339.9235382673</v>
      </c>
    </row>
    <row r="29">
      <c r="A29" s="308" t="inlineStr">
        <is>
          <t>2022-10</t>
        </is>
      </c>
      <c r="B29" s="308" t="n">
        <v>13.4642204242</v>
      </c>
      <c r="C29" s="308" t="n">
        <v>367.5510098947</v>
      </c>
    </row>
    <row r="30">
      <c r="A30" s="308" t="inlineStr">
        <is>
          <t>2022-11</t>
        </is>
      </c>
      <c r="B30" s="308" t="n">
        <v>16.8858901326</v>
      </c>
      <c r="C30" s="308" t="n">
        <v>387.9837283185</v>
      </c>
    </row>
    <row r="31">
      <c r="A31" s="308" t="inlineStr">
        <is>
          <t>2022-12</t>
        </is>
      </c>
      <c r="B31" s="308" t="n">
        <v>14.5819534597</v>
      </c>
      <c r="C31" s="308" t="n">
        <v>365.645252784</v>
      </c>
    </row>
    <row r="32">
      <c r="A32" s="308" t="inlineStr">
        <is>
          <t>2023-01</t>
        </is>
      </c>
      <c r="B32" s="308" t="n">
        <v>19.4941579815</v>
      </c>
      <c r="C32" s="308" t="n">
        <v>388.6397049176</v>
      </c>
    </row>
    <row r="33">
      <c r="A33" s="308" t="inlineStr">
        <is>
          <t>2023-02</t>
        </is>
      </c>
      <c r="B33" s="308" t="n">
        <v>23.1650904284</v>
      </c>
      <c r="C33" s="308" t="n">
        <v>378.8682578986</v>
      </c>
    </row>
    <row r="34">
      <c r="A34" s="308" t="inlineStr">
        <is>
          <t>2023-03</t>
        </is>
      </c>
      <c r="B34" s="308" t="n">
        <v>27.7208493463</v>
      </c>
      <c r="C34" s="308" t="n">
        <v>392.9337203794</v>
      </c>
    </row>
    <row r="35">
      <c r="A35" s="308" t="inlineStr">
        <is>
          <t>2023-04</t>
        </is>
      </c>
      <c r="B35" s="308" t="n">
        <v>27.6929059477</v>
      </c>
      <c r="C35" s="308" t="n">
        <v>399.2108315235</v>
      </c>
    </row>
    <row r="36">
      <c r="A36" s="308" t="inlineStr">
        <is>
          <t>2023-05</t>
        </is>
      </c>
      <c r="B36" s="308" t="n">
        <v>37.7575193205</v>
      </c>
      <c r="C36" s="308" t="n">
        <v>401.0536531438</v>
      </c>
    </row>
    <row r="37">
      <c r="A37" s="308" t="inlineStr">
        <is>
          <t>2023-06</t>
        </is>
      </c>
      <c r="B37" s="308" t="n">
        <v>42.2209934433</v>
      </c>
      <c r="C37" s="308" t="n">
        <v>427.0476200424</v>
      </c>
    </row>
    <row r="38">
      <c r="A38" s="308" t="inlineStr">
        <is>
          <t>2023-07</t>
        </is>
      </c>
      <c r="B38" s="308" t="n">
        <v>46.6395159239</v>
      </c>
      <c r="C38" s="308" t="n">
        <v>441.0262813103</v>
      </c>
    </row>
    <row r="39">
      <c r="A39" s="308" t="inlineStr">
        <is>
          <t>2023-08</t>
        </is>
      </c>
      <c r="B39" s="308" t="n">
        <v>49.260487244</v>
      </c>
      <c r="C39" s="308" t="n">
        <v>433.8587251536</v>
      </c>
    </row>
    <row r="40">
      <c r="A40" s="308" t="inlineStr">
        <is>
          <t>2023-09</t>
        </is>
      </c>
      <c r="B40" s="308" t="n">
        <v>43.4193914024</v>
      </c>
      <c r="C40" s="308" t="n">
        <v>413.2967305907</v>
      </c>
    </row>
    <row r="41">
      <c r="A41" s="308" t="inlineStr">
        <is>
          <t>2023-10</t>
        </is>
      </c>
      <c r="B41" s="308" t="n">
        <v>40.7053675117</v>
      </c>
      <c r="C41" s="308" t="n">
        <v>404.3246297675</v>
      </c>
    </row>
    <row r="42">
      <c r="A42" s="308" t="inlineStr">
        <is>
          <t>2023-11</t>
        </is>
      </c>
      <c r="B42" s="308" t="n">
        <v>46.6844050643</v>
      </c>
      <c r="C42" s="308" t="n">
        <v>441.2571999663</v>
      </c>
    </row>
    <row r="43">
      <c r="A43" s="308" t="inlineStr">
        <is>
          <t>2023-12</t>
        </is>
      </c>
      <c r="B43" s="308" t="n">
        <v>49.4356146949</v>
      </c>
      <c r="C43" s="308" t="n">
        <v>461.4061014052</v>
      </c>
    </row>
    <row r="44">
      <c r="A44" s="308" t="inlineStr">
        <is>
          <t>2024-01</t>
        </is>
      </c>
      <c r="B44" s="308" t="n">
        <v>61.4196733842</v>
      </c>
      <c r="C44" s="308" t="n">
        <v>468.7546616872</v>
      </c>
    </row>
    <row r="45">
      <c r="A45" s="308" t="inlineStr">
        <is>
          <t>2024-02</t>
        </is>
      </c>
      <c r="B45" s="308" t="n">
        <v>78.9739984197</v>
      </c>
      <c r="C45" s="308" t="n">
        <v>493.2175043697</v>
      </c>
    </row>
    <row r="46">
      <c r="A46" s="308" t="inlineStr">
        <is>
          <t>2024-03</t>
        </is>
      </c>
      <c r="B46" s="308" t="n">
        <v>90.20258161460001</v>
      </c>
      <c r="C46" s="308" t="n">
        <v>509.3575022438</v>
      </c>
    </row>
    <row r="47">
      <c r="A47" s="308" t="inlineStr">
        <is>
          <t>2024-04</t>
        </is>
      </c>
      <c r="B47" s="308" t="n">
        <v>86.2552952396</v>
      </c>
      <c r="C47" s="308" t="n">
        <v>488.8203853716</v>
      </c>
    </row>
    <row r="48">
      <c r="A48" s="308" t="inlineStr">
        <is>
          <t>2024-05</t>
        </is>
      </c>
      <c r="B48" s="308" t="n">
        <v>109.4468505706</v>
      </c>
      <c r="C48" s="308" t="n">
        <v>513.5447759541</v>
      </c>
    </row>
    <row r="49">
      <c r="A49" s="308" t="inlineStr">
        <is>
          <t>2024-06</t>
        </is>
      </c>
      <c r="B49" s="308" t="n">
        <v>123.3404375924</v>
      </c>
      <c r="C49" s="308" t="n">
        <v>531.6650443674999</v>
      </c>
    </row>
    <row r="50">
      <c r="A50" s="308" t="inlineStr">
        <is>
          <t>2024-07</t>
        </is>
      </c>
      <c r="B50" s="308" t="n">
        <v>116.8309697836</v>
      </c>
      <c r="C50" s="308" t="n">
        <v>538.1030154865</v>
      </c>
    </row>
    <row r="51">
      <c r="A51" s="308" t="inlineStr">
        <is>
          <t>2024-08</t>
        </is>
      </c>
      <c r="B51" s="308" t="n">
        <v>119.1771736717</v>
      </c>
      <c r="C51" s="308" t="n">
        <v>550.6761093107</v>
      </c>
    </row>
    <row r="52">
      <c r="A52" s="308" t="inlineStr">
        <is>
          <t>2024-09</t>
        </is>
      </c>
      <c r="B52" s="308" t="n">
        <v>121.2540064472</v>
      </c>
      <c r="C52" s="308" t="n">
        <v>562.2453646183</v>
      </c>
    </row>
    <row r="53">
      <c r="A53" s="308" t="inlineStr">
        <is>
          <t>2024-10</t>
        </is>
      </c>
      <c r="B53" s="308" t="n">
        <v>132.5566691036</v>
      </c>
      <c r="C53" s="308" t="n">
        <v>557.2281165235</v>
      </c>
    </row>
    <row r="54">
      <c r="A54" s="308" t="inlineStr">
        <is>
          <t>2024-11</t>
        </is>
      </c>
      <c r="B54" s="308" t="n">
        <v>138.0382607982</v>
      </c>
      <c r="C54" s="308" t="n">
        <v>590.4575858386</v>
      </c>
    </row>
    <row r="55">
      <c r="A55" s="308" t="inlineStr">
        <is>
          <t>2024-12</t>
        </is>
      </c>
      <c r="B55" s="308" t="n">
        <v>134.0935691754</v>
      </c>
      <c r="C55" s="308" t="n">
        <v>576.2277005713</v>
      </c>
    </row>
    <row r="56">
      <c r="A56" s="308" t="inlineStr">
        <is>
          <t>2025-01</t>
        </is>
      </c>
      <c r="B56" s="308" t="n">
        <v>119.8943692821</v>
      </c>
      <c r="C56" s="308" t="n">
        <v>591.7031032586</v>
      </c>
    </row>
    <row r="57">
      <c r="A57" s="308" t="inlineStr">
        <is>
          <t>2025-02</t>
        </is>
      </c>
      <c r="B57" s="308" t="n">
        <v>124.7372750122</v>
      </c>
      <c r="C57" s="308" t="n">
        <v>584.1915354993</v>
      </c>
    </row>
    <row r="58">
      <c r="A58" s="308" t="inlineStr">
        <is>
          <t>2025-03</t>
        </is>
      </c>
      <c r="B58" s="308" t="n">
        <v>108.2308190613</v>
      </c>
      <c r="C58" s="308" t="n">
        <v>551.6398309809</v>
      </c>
    </row>
    <row r="59">
      <c r="A59" s="308" t="inlineStr">
        <is>
          <t>2025-04</t>
        </is>
      </c>
      <c r="B59" s="308" t="n">
        <v>108.7700757718</v>
      </c>
      <c r="C59" s="308" t="n">
        <v>546.8570261752</v>
      </c>
    </row>
    <row r="60">
      <c r="A60" s="308" t="inlineStr">
        <is>
          <t>2025-05</t>
        </is>
      </c>
      <c r="B60" s="308" t="n">
        <v>134.9439987059</v>
      </c>
      <c r="C60" s="308" t="n">
        <v>581.2241906037</v>
      </c>
    </row>
    <row r="61">
      <c r="A61" s="308" t="inlineStr">
        <is>
          <t>2025-06</t>
        </is>
      </c>
      <c r="B61" s="308" t="n">
        <v>157.7835789634</v>
      </c>
      <c r="C61" s="308" t="n">
        <v>611.0954844284</v>
      </c>
    </row>
    <row r="62">
      <c r="A62" s="308" t="inlineStr">
        <is>
          <t>2025-07</t>
        </is>
      </c>
      <c r="B62" s="308" t="n">
        <v>177.6376048498</v>
      </c>
      <c r="C62" s="308" t="n">
        <v>625.1699179372</v>
      </c>
    </row>
    <row r="63">
      <c r="A63" s="308" t="inlineStr">
        <is>
          <t>2025-08</t>
        </is>
      </c>
      <c r="B63" s="308" t="n">
        <v>173.9524260006</v>
      </c>
      <c r="C63" s="308" t="n">
        <v>637.9981261317999</v>
      </c>
    </row>
    <row r="64">
      <c r="A64" s="308" t="inlineStr">
        <is>
          <t>2025-09</t>
        </is>
      </c>
      <c r="B64" s="308" t="n">
        <v>186.3467422122</v>
      </c>
      <c r="C64" s="308" t="n">
        <v>660.7149899586</v>
      </c>
    </row>
    <row r="65">
      <c r="A65" s="308" t="inlineStr">
        <is>
          <t>2025-10</t>
        </is>
      </c>
      <c r="B65" s="308" t="n">
        <v>202.2368519163</v>
      </c>
      <c r="C65" s="308" t="n">
        <v>676.4647183211</v>
      </c>
    </row>
    <row r="66">
      <c r="A66" s="308" t="inlineStr">
        <is>
          <t>2025-11</t>
        </is>
      </c>
      <c r="B66" s="308" t="n">
        <v>176.7787188957</v>
      </c>
      <c r="C66" s="308" t="n">
        <v>677.7838076613</v>
      </c>
    </row>
    <row r="67">
      <c r="A67" s="308" t="inlineStr">
        <is>
          <t>2025-12</t>
        </is>
      </c>
      <c r="B67" s="308" t="n">
        <v>186.2769996503</v>
      </c>
      <c r="C67" s="308" t="n">
        <v>678.3067456674</v>
      </c>
    </row>
    <row r="68">
      <c r="A68" s="308" t="inlineStr">
        <is>
          <t>2026-01</t>
        </is>
      </c>
      <c r="B68" s="308" t="n">
        <v>190.9014635022</v>
      </c>
      <c r="C68" s="308" t="n">
        <v>688.3034942507001</v>
      </c>
    </row>
    <row r="69">
      <c r="A69" s="308" t="inlineStr">
        <is>
          <t>2026-02</t>
        </is>
      </c>
      <c r="B69" s="308" t="n">
        <v>176.9781317321</v>
      </c>
      <c r="C69" s="308" t="n">
        <v>682.3551801683</v>
      </c>
    </row>
    <row r="70">
      <c r="A70" s="308" t="inlineStr">
        <is>
          <t>2026-03</t>
        </is>
      </c>
      <c r="B70" s="308" t="n">
        <v>174.2008313919</v>
      </c>
      <c r="C70" s="308" t="n">
        <v>648.6864324889</v>
      </c>
    </row>
    <row r="71">
      <c r="A71" s="308" t="inlineStr">
        <is>
          <t>2026-04</t>
        </is>
      </c>
      <c r="B71" s="308" t="n">
        <v>199.3420867023</v>
      </c>
      <c r="C71" s="308" t="n">
        <v>716.8327206883999</v>
      </c>
    </row>
    <row r="72">
      <c r="A72" s="308" t="inlineStr">
        <is>
          <t>2026-05</t>
        </is>
      </c>
      <c r="B72" s="308" t="n">
        <v>210.8988735097</v>
      </c>
      <c r="C72" s="308" t="n">
        <v>754.5565587988</v>
      </c>
    </row>
    <row r="73">
      <c r="A73" s="308" t="inlineStr">
        <is>
          <t>2026-06</t>
        </is>
      </c>
      <c r="B73" s="308" t="n">
        <v>200.09</v>
      </c>
      <c r="C73" s="308" t="n">
        <v>746.77</v>
      </c>
    </row>
    <row r="74">
      <c r="A74" s="308" t="inlineStr">
        <is>
          <t>2026-07</t>
        </is>
      </c>
      <c r="B74" s="308" t="n">
        <v>200.75</v>
      </c>
      <c r="C74" s="308" t="n">
        <v>747.03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81">
        <f>IF(ISNUMBER(Market!$B$37),Market!$B$37,Valuation!$B$15)</f>
        <v/>
      </c>
      <c r="I3" s="481">
        <f>IF(ISNUMBER(Market!$B$37),Market!$B$37,Valuation!$B$15)</f>
        <v/>
      </c>
      <c r="J3" s="481">
        <f>IF(ISNUMBER(Market!$B$37),Market!$B$37,Valuation!$B$15)</f>
        <v/>
      </c>
      <c r="K3" s="481">
        <f>IF(ISNUMBER(Market!$B$37),Market!$B$37,Valuation!$B$15)</f>
        <v/>
      </c>
      <c r="L3" s="481">
        <f>IF(ISNUMBER(Market!$B$37),Market!$B$37,Valuation!$B$15)</f>
        <v/>
      </c>
    </row>
    <row r="5">
      <c r="B5" s="481">
        <f>AVERAGE(Metrics!$B$6:$L$6)</f>
        <v/>
      </c>
      <c r="C5" s="481">
        <f>AVERAGE(Metrics!$B$6:$L$6)</f>
        <v/>
      </c>
      <c r="D5" s="481">
        <f>AVERAGE(Metrics!$B$6:$L$6)</f>
        <v/>
      </c>
      <c r="E5" s="481">
        <f>AVERAGE(Metrics!$B$6:$L$6)</f>
        <v/>
      </c>
      <c r="F5" s="481">
        <f>AVERAGE(Metrics!$B$6:$L$6)</f>
        <v/>
      </c>
      <c r="G5" s="481">
        <f>AVERAGE(Metrics!$B$6:$L$6)</f>
        <v/>
      </c>
      <c r="H5" s="481">
        <f>AVERAGE(Metrics!$B$6:$L$6)</f>
        <v/>
      </c>
      <c r="I5" s="481">
        <f>AVERAGE(Metrics!$B$6:$L$6)</f>
        <v/>
      </c>
      <c r="J5" s="481">
        <f>AVERAGE(Metrics!$B$6:$L$6)</f>
        <v/>
      </c>
      <c r="K5" s="481">
        <f>AVERAGE(Metrics!$B$6:$L$6)</f>
        <v/>
      </c>
      <c r="L5" s="481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82">
        <f>AVERAGE(Metrics!$B$181:$L$181)</f>
        <v/>
      </c>
      <c r="C14" s="482">
        <f>AVERAGE(Metrics!$B$181:$L$181)</f>
        <v/>
      </c>
      <c r="D14" s="482">
        <f>AVERAGE(Metrics!$B$181:$L$181)</f>
        <v/>
      </c>
      <c r="E14" s="482">
        <f>AVERAGE(Metrics!$B$181:$L$181)</f>
        <v/>
      </c>
      <c r="F14" s="482">
        <f>AVERAGE(Metrics!$B$181:$L$181)</f>
        <v/>
      </c>
      <c r="G14" s="482">
        <f>AVERAGE(Metrics!$B$181:$L$181)</f>
        <v/>
      </c>
      <c r="H14" s="482">
        <f>AVERAGE(Metrics!$B$181:$L$181)</f>
        <v/>
      </c>
      <c r="I14" s="482">
        <f>AVERAGE(Metrics!$B$181:$L$181)</f>
        <v/>
      </c>
      <c r="J14" s="482">
        <f>AVERAGE(Metrics!$B$181:$L$181)</f>
        <v/>
      </c>
      <c r="K14" s="482">
        <f>AVERAGE(Metrics!$B$181:$L$181)</f>
        <v/>
      </c>
      <c r="L14" s="482">
        <f>AVERAGE(Metrics!$B$181:$L$181)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2026-09-24T11:45:58Z</dcterms:modified>
  <cp:lastModifiedBy>Francesco Laconi</cp:lastModifiedBy>
  <cp:revision>16</cp:revision>
</cp:coreProperties>
</file>