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5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7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51" fillId="0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4004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GOOG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556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563" t="n"/>
      <c r="C4" s="563" t="n"/>
      <c r="D4" s="563" t="n"/>
      <c r="E4" s="563" t="n"/>
      <c r="F4" s="563" t="n"/>
      <c r="G4" s="563" t="n"/>
      <c r="H4" s="563" t="n"/>
      <c r="I4" s="563" t="n"/>
      <c r="J4" s="563" t="n"/>
      <c r="K4" s="563" t="n"/>
      <c r="L4" s="563" t="n"/>
      <c r="M4" s="563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341.28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12230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4173854.399999999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17835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4191689.399999999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27.91203196271017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31.57076780758556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5.99067865903516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0.01755355912750575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0.002468461765221135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563" t="n"/>
      <c r="C23" s="563" t="n"/>
      <c r="D23" s="563" t="n"/>
      <c r="E23" s="563" t="n"/>
      <c r="F23" s="563" t="n"/>
      <c r="G23" s="563" t="n"/>
      <c r="H23" s="563" t="n"/>
      <c r="I23" s="563" t="n"/>
      <c r="J23" s="563" t="n"/>
      <c r="K23" s="563" t="n"/>
      <c r="L23" s="563" t="n"/>
      <c r="M23" s="563" t="n"/>
    </row>
    <row r="24" ht="18" customHeight="1" s="74">
      <c r="A24" s="297" t="inlineStr">
        <is>
          <t>Risk-Free Rate (10Y UST)</t>
        </is>
      </c>
      <c r="B24" s="304" t="n">
        <v>0.0472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0.0442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1.215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153" t="n"/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153" t="n"/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6" t="n"/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0.01100655330133679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6" t="n"/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563" t="n"/>
      <c r="C39" s="563" t="n"/>
      <c r="D39" s="563" t="n"/>
      <c r="E39" s="563" t="n"/>
      <c r="F39" s="563" t="n"/>
      <c r="G39" s="563" t="n"/>
      <c r="H39" s="563" t="n"/>
      <c r="I39" s="563" t="n"/>
      <c r="J39" s="563" t="n"/>
      <c r="K39" s="563" t="n"/>
      <c r="L39" s="563" t="n"/>
      <c r="M39" s="563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758.88</v>
      </c>
      <c r="C41" s="437" t="n">
        <v>771.8200000000001</v>
      </c>
      <c r="D41" s="437" t="n">
        <v>1046.4</v>
      </c>
      <c r="E41" s="437" t="n">
        <v>1035.61</v>
      </c>
      <c r="F41" s="437" t="n">
        <v>1337.02</v>
      </c>
      <c r="G41" s="437" t="n">
        <v>1751.88</v>
      </c>
      <c r="H41" s="437" t="n">
        <v>2893.59</v>
      </c>
      <c r="I41" s="437" t="n">
        <v>88.73</v>
      </c>
      <c r="J41" s="437" t="n">
        <v>140.93</v>
      </c>
      <c r="K41" s="437" t="n">
        <v>190.44</v>
      </c>
      <c r="L41" s="437" t="n">
        <v>313.8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563" t="n"/>
      <c r="C44" s="563" t="n"/>
      <c r="D44" s="563" t="n"/>
      <c r="E44" s="563" t="n"/>
      <c r="F44" s="563" t="n"/>
      <c r="G44" s="563" t="n"/>
      <c r="H44" s="563" t="n"/>
      <c r="I44" s="563" t="n"/>
      <c r="J44" s="563" t="n"/>
      <c r="K44" s="563" t="n"/>
      <c r="L44" s="563" t="n"/>
      <c r="M44" s="563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501" t="n">
        <v>13.7</v>
      </c>
      <c r="C46" s="501" t="n">
        <v>20.9</v>
      </c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501" t="n">
        <v>23.5</v>
      </c>
      <c r="C47" s="501" t="n">
        <v>33.9</v>
      </c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501" t="n">
        <v>3.3</v>
      </c>
      <c r="C48" s="501" t="n">
        <v>2.1</v>
      </c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GOOG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Alphabet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Communication Services / Internet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1.215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341.28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4173854.4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2026-08-19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74989</v>
      </c>
      <c r="C14" s="379" t="n">
        <v>90272</v>
      </c>
      <c r="D14" s="379" t="n">
        <v>110855</v>
      </c>
      <c r="E14" s="379" t="n">
        <v>136819</v>
      </c>
      <c r="F14" s="379" t="n">
        <v>161857</v>
      </c>
      <c r="G14" s="379" t="n">
        <v>182527</v>
      </c>
      <c r="H14" s="379" t="n">
        <v>257637</v>
      </c>
      <c r="I14" s="379" t="n">
        <v>282836</v>
      </c>
      <c r="J14" s="379" t="n">
        <v>307394</v>
      </c>
      <c r="K14" s="379" t="n">
        <v>350018</v>
      </c>
      <c r="L14" s="379" t="n">
        <v>402836</v>
      </c>
      <c r="M14" s="308" t="inlineStr">
        <is>
          <t>GOOG 10k 2025.pdf | p.49 | Consolidated Statements of Income | Revenues | as-printed: 402,836</t>
        </is>
      </c>
      <c r="N14" s="380" t="n">
        <v>80539</v>
      </c>
      <c r="O14" s="380" t="n">
        <v>84742</v>
      </c>
      <c r="P14" s="380" t="n">
        <v>88268</v>
      </c>
      <c r="Q14" s="380" t="n">
        <v>96469</v>
      </c>
      <c r="R14" s="380" t="n">
        <v>90234</v>
      </c>
      <c r="S14" s="380" t="n">
        <v>96428</v>
      </c>
      <c r="T14" s="380" t="n">
        <v>102346</v>
      </c>
      <c r="U14" s="380" t="n">
        <v>113828</v>
      </c>
      <c r="V14" s="381" t="n">
        <v>109896</v>
      </c>
      <c r="W14" s="381" t="n">
        <v>119796</v>
      </c>
      <c r="X14" s="454" t="n"/>
      <c r="Y14" s="454" t="n"/>
    </row>
    <row r="15" ht="15" customHeight="1" s="74">
      <c r="A15" s="17" t="inlineStr">
        <is>
          <t>Cost of Goods Sold</t>
        </is>
      </c>
      <c r="B15" s="382" t="n">
        <v>28164</v>
      </c>
      <c r="C15" s="382" t="n">
        <v>35138</v>
      </c>
      <c r="D15" s="382" t="n">
        <v>45583</v>
      </c>
      <c r="E15" s="382" t="n">
        <v>59549</v>
      </c>
      <c r="F15" s="382" t="n">
        <v>71896</v>
      </c>
      <c r="G15" s="382" t="n">
        <v>84732</v>
      </c>
      <c r="H15" s="382" t="n">
        <v>110939</v>
      </c>
      <c r="I15" s="382" t="n">
        <v>126203</v>
      </c>
      <c r="J15" s="382" t="n">
        <v>133332</v>
      </c>
      <c r="K15" s="382" t="n">
        <v>146306</v>
      </c>
      <c r="L15" s="382" t="n">
        <v>162535</v>
      </c>
      <c r="M15" s="308" t="inlineStr">
        <is>
          <t>GOOG 10k 2025.pdf | p.49 | Consolidated Statements of Income | Cost of revenues | as-printed: 162,535</t>
        </is>
      </c>
      <c r="N15" s="383" t="n">
        <v>33712</v>
      </c>
      <c r="O15" s="383" t="n">
        <v>35507</v>
      </c>
      <c r="P15" s="383" t="n">
        <v>36474</v>
      </c>
      <c r="Q15" s="383" t="n">
        <v>40613</v>
      </c>
      <c r="R15" s="383" t="n">
        <v>36361</v>
      </c>
      <c r="S15" s="383" t="n">
        <v>39039</v>
      </c>
      <c r="T15" s="383" t="n">
        <v>41369</v>
      </c>
      <c r="U15" s="383" t="n">
        <v>45766</v>
      </c>
      <c r="V15" s="384" t="n">
        <v>41271</v>
      </c>
      <c r="W15" s="384" t="n">
        <v>45943</v>
      </c>
      <c r="X15" s="454" t="n"/>
      <c r="Y15" s="454" t="n"/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5">
        <f>IFERROR(IF(OR(NOT(ISNUMBER(Data!X14)),NOT(ISNUMBER(Data!X15))),"-",Data!X14-Data!X15),"-")</f>
        <v/>
      </c>
      <c r="Y16" s="45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>
        <v>15183</v>
      </c>
      <c r="C17" s="382" t="n">
        <v>17470</v>
      </c>
      <c r="D17" s="382" t="n">
        <v>19765</v>
      </c>
      <c r="E17" s="382" t="n">
        <v>24459</v>
      </c>
      <c r="F17" s="382" t="n">
        <v>28015</v>
      </c>
      <c r="G17" s="382" t="n">
        <v>28998</v>
      </c>
      <c r="H17" s="382" t="n">
        <v>36422</v>
      </c>
      <c r="I17" s="382" t="n">
        <v>42291</v>
      </c>
      <c r="J17" s="382" t="n">
        <v>44342</v>
      </c>
      <c r="K17" s="382" t="n">
        <v>41996</v>
      </c>
      <c r="L17" s="382" t="n">
        <v>50175</v>
      </c>
      <c r="M17" s="308" t="inlineStr">
        <is>
          <t>GOOG 10k 2025.pdf | p.49 | Consolidated Statements of Income | Sales and marketing + General and administrative (summed split lines) | as-printed: 50,175</t>
        </is>
      </c>
      <c r="N17" s="383" t="n">
        <v>9452</v>
      </c>
      <c r="O17" s="383" t="n">
        <v>9950</v>
      </c>
      <c r="P17" s="383" t="n">
        <v>10826</v>
      </c>
      <c r="Q17" s="383" t="n">
        <v>11768</v>
      </c>
      <c r="R17" s="383" t="n">
        <v>9711</v>
      </c>
      <c r="S17" s="383" t="n">
        <v>12310</v>
      </c>
      <c r="T17" s="383" t="n">
        <v>14598</v>
      </c>
      <c r="U17" s="383" t="n">
        <v>13556</v>
      </c>
      <c r="V17" s="384" t="n">
        <v>11897</v>
      </c>
      <c r="W17" s="384" t="n">
        <v>14864</v>
      </c>
      <c r="X17" s="384" t="n"/>
      <c r="Y17" s="384" t="n"/>
    </row>
    <row r="18" ht="15" customHeight="1" s="74">
      <c r="A18" s="15" t="inlineStr">
        <is>
          <t>R&amp;D</t>
        </is>
      </c>
      <c r="B18" s="379" t="n">
        <v>12282</v>
      </c>
      <c r="C18" s="379" t="n">
        <v>13948</v>
      </c>
      <c r="D18" s="379" t="n">
        <v>16625</v>
      </c>
      <c r="E18" s="379" t="n">
        <v>21419</v>
      </c>
      <c r="F18" s="379" t="n">
        <v>26018</v>
      </c>
      <c r="G18" s="379" t="n">
        <v>27573</v>
      </c>
      <c r="H18" s="379" t="n">
        <v>31562</v>
      </c>
      <c r="I18" s="379" t="n">
        <v>39500</v>
      </c>
      <c r="J18" s="379" t="n">
        <v>45427</v>
      </c>
      <c r="K18" s="379" t="n">
        <v>49326</v>
      </c>
      <c r="L18" s="379" t="n">
        <v>61087</v>
      </c>
      <c r="M18" s="308" t="inlineStr">
        <is>
          <t>GOOG 10k 2025.pdf | p.49 | Consolidated Statements of Income | Research and development | as-printed: 61,087</t>
        </is>
      </c>
      <c r="N18" s="380" t="n">
        <v>11903</v>
      </c>
      <c r="O18" s="380" t="n">
        <v>11860</v>
      </c>
      <c r="P18" s="380" t="n">
        <v>12447</v>
      </c>
      <c r="Q18" s="380" t="n">
        <v>13116</v>
      </c>
      <c r="R18" s="380" t="n">
        <v>13556</v>
      </c>
      <c r="S18" s="380" t="n">
        <v>13808</v>
      </c>
      <c r="T18" s="380" t="n">
        <v>15151</v>
      </c>
      <c r="U18" s="380" t="n">
        <v>18572</v>
      </c>
      <c r="V18" s="381" t="n">
        <v>17032</v>
      </c>
      <c r="W18" s="381" t="n">
        <v>18219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>
        <v>27465</v>
      </c>
      <c r="C19" s="71" t="n">
        <v>31418</v>
      </c>
      <c r="D19" s="71" t="n">
        <v>39126</v>
      </c>
      <c r="E19" s="71" t="n">
        <v>50949</v>
      </c>
      <c r="F19" s="71" t="n">
        <v>55730</v>
      </c>
      <c r="G19" s="71" t="n">
        <v>56571</v>
      </c>
      <c r="H19" s="71" t="n">
        <v>67984</v>
      </c>
      <c r="I19" s="71" t="n">
        <v>81791</v>
      </c>
      <c r="J19" s="71" t="n">
        <v>89769</v>
      </c>
      <c r="K19" s="71" t="n">
        <v>91322</v>
      </c>
      <c r="L19" s="71" t="n">
        <v>111262</v>
      </c>
      <c r="M19" s="308" t="inlineStr">
        <is>
          <t>GOOG 10k 2023.pdf | p.52 | Consolidated Statements of Income | Operating expenses excluding cost of revenues (R&amp;D + Sales &amp; marketing + G&amp;A) | as-printed: 89,769</t>
        </is>
      </c>
      <c r="N19" s="216" t="n">
        <v>21355</v>
      </c>
      <c r="O19" s="216" t="n">
        <v>21810</v>
      </c>
      <c r="P19" s="216" t="n">
        <v>23273</v>
      </c>
      <c r="Q19" s="216" t="n">
        <v>24884</v>
      </c>
      <c r="R19" s="216" t="n">
        <v>23267</v>
      </c>
      <c r="S19" s="216" t="n">
        <v>26118</v>
      </c>
      <c r="T19" s="216" t="n">
        <v>29749</v>
      </c>
      <c r="U19" s="216" t="n">
        <v>32128</v>
      </c>
      <c r="V19" s="256" t="n">
        <v>28929</v>
      </c>
      <c r="W19" s="256" t="n">
        <v>33083</v>
      </c>
      <c r="X19" s="455" t="n"/>
      <c r="Y19" s="455" t="n"/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>
        <v>5063</v>
      </c>
      <c r="C21" s="382" t="n">
        <v>6144</v>
      </c>
      <c r="D21" s="382" t="n">
        <v>6915</v>
      </c>
      <c r="E21" s="382" t="n">
        <v>9035</v>
      </c>
      <c r="F21" s="382" t="n">
        <v>11781</v>
      </c>
      <c r="G21" s="382" t="n">
        <v>13697</v>
      </c>
      <c r="H21" s="382" t="n">
        <v>12441</v>
      </c>
      <c r="I21" s="382" t="n">
        <v>15928</v>
      </c>
      <c r="J21" s="382" t="n">
        <v>11946</v>
      </c>
      <c r="K21" s="382" t="n">
        <v>15311</v>
      </c>
      <c r="L21" s="382" t="n">
        <v>21136</v>
      </c>
      <c r="M21" s="308" t="inlineStr">
        <is>
          <t>GOOG 10k 2025.pdf | p.52 | Consolidated Statements of Cash Flows | Depreciation of property and equipment | as-printed: 21,136</t>
        </is>
      </c>
      <c r="N21" s="383" t="n">
        <v>3413</v>
      </c>
      <c r="O21" s="383" t="n">
        <v>3708</v>
      </c>
      <c r="P21" s="383" t="n">
        <v>3985</v>
      </c>
      <c r="Q21" s="383" t="n">
        <v>4205</v>
      </c>
      <c r="R21" s="383" t="n">
        <v>4487</v>
      </c>
      <c r="S21" s="383" t="n">
        <v>4998</v>
      </c>
      <c r="T21" s="383" t="n">
        <v>5611</v>
      </c>
      <c r="U21" s="383" t="n">
        <v>6040</v>
      </c>
      <c r="V21" s="384" t="n">
        <v>6482</v>
      </c>
      <c r="W21" s="384" t="n">
        <v>7104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>
        <v>19360</v>
      </c>
      <c r="C22" s="70" t="n">
        <v>23716</v>
      </c>
      <c r="D22" s="70" t="n">
        <v>26146</v>
      </c>
      <c r="E22" s="70" t="n">
        <v>26321</v>
      </c>
      <c r="F22" s="70" t="n">
        <v>34231</v>
      </c>
      <c r="G22" s="70" t="n">
        <v>41224</v>
      </c>
      <c r="H22" s="70" t="n">
        <v>78714</v>
      </c>
      <c r="I22" s="70" t="n">
        <v>74842</v>
      </c>
      <c r="J22" s="70" t="n">
        <v>84293</v>
      </c>
      <c r="K22" s="70" t="n">
        <v>112390</v>
      </c>
      <c r="L22" s="70" t="n">
        <v>129039</v>
      </c>
      <c r="M22" s="308" t="inlineStr">
        <is>
          <t>GOOG 10k 2025.pdf | p.49 | Consolidated Statements of Income | Income from operations | as-printed: 129,039</t>
        </is>
      </c>
      <c r="N22" s="220" t="n">
        <v>25472</v>
      </c>
      <c r="O22" s="220" t="n">
        <v>27425</v>
      </c>
      <c r="P22" s="220" t="n">
        <v>28521</v>
      </c>
      <c r="Q22" s="220" t="n">
        <v>30972</v>
      </c>
      <c r="R22" s="220" t="n">
        <v>30606</v>
      </c>
      <c r="S22" s="220" t="n">
        <v>31271</v>
      </c>
      <c r="T22" s="220" t="n">
        <v>31228</v>
      </c>
      <c r="U22" s="220" t="n">
        <v>35934</v>
      </c>
      <c r="V22" s="258" t="n">
        <v>39696</v>
      </c>
      <c r="W22" s="258" t="n">
        <v>40770</v>
      </c>
      <c r="X22" s="455" t="n"/>
      <c r="Y22" s="455" t="n"/>
    </row>
    <row r="23" ht="15" customHeight="1" s="74">
      <c r="A23" s="17" t="inlineStr">
        <is>
          <t>Interest Expense</t>
        </is>
      </c>
      <c r="B23" s="382" t="n">
        <v>104</v>
      </c>
      <c r="C23" s="382" t="n">
        <v>124</v>
      </c>
      <c r="D23" s="382" t="n">
        <v>109</v>
      </c>
      <c r="E23" s="382" t="n">
        <v>114</v>
      </c>
      <c r="F23" s="382" t="n">
        <v>100</v>
      </c>
      <c r="G23" s="382" t="n">
        <v>135</v>
      </c>
      <c r="H23" s="382" t="n">
        <v>346</v>
      </c>
      <c r="I23" s="382" t="n">
        <v>357</v>
      </c>
      <c r="J23" s="382" t="n">
        <v>308</v>
      </c>
      <c r="K23" s="382" t="n">
        <v>268</v>
      </c>
      <c r="L23" s="382" t="n">
        <v>736</v>
      </c>
      <c r="M23" s="308" t="inlineStr">
        <is>
          <t>GOOG 10k 2025.pdf | p.74 | Note 7 - Other Income (Expense), Net | Interest expense | as-printed: (736)</t>
        </is>
      </c>
      <c r="N23" s="383" t="n">
        <v>94</v>
      </c>
      <c r="O23" s="383" t="n">
        <v>67</v>
      </c>
      <c r="P23" s="383" t="n">
        <v>54</v>
      </c>
      <c r="Q23" s="383" t="n">
        <v>53</v>
      </c>
      <c r="R23" s="383" t="n">
        <v>34</v>
      </c>
      <c r="S23" s="383" t="n">
        <v>261</v>
      </c>
      <c r="T23" s="383" t="n">
        <v>143</v>
      </c>
      <c r="U23" s="383" t="n">
        <v>298</v>
      </c>
      <c r="V23" s="384" t="n">
        <v>533</v>
      </c>
      <c r="W23" s="384" t="n">
        <v>1278</v>
      </c>
      <c r="X23" s="454" t="n"/>
      <c r="Y23" s="454" t="n"/>
    </row>
    <row r="24" ht="15" customHeight="1" s="74">
      <c r="A24" s="15" t="inlineStr">
        <is>
          <t>Pre-Tax Income</t>
        </is>
      </c>
      <c r="B24" s="70" t="n">
        <v>19651</v>
      </c>
      <c r="C24" s="70" t="n">
        <v>24150</v>
      </c>
      <c r="D24" s="70" t="n">
        <v>27193</v>
      </c>
      <c r="E24" s="70" t="n">
        <v>34913</v>
      </c>
      <c r="F24" s="70" t="n">
        <v>39625</v>
      </c>
      <c r="G24" s="70" t="n">
        <v>48082</v>
      </c>
      <c r="H24" s="70" t="n">
        <v>90734</v>
      </c>
      <c r="I24" s="70" t="n">
        <v>71328</v>
      </c>
      <c r="J24" s="70" t="n">
        <v>85717</v>
      </c>
      <c r="K24" s="70" t="n">
        <v>119815</v>
      </c>
      <c r="L24" s="70" t="n">
        <v>158826</v>
      </c>
      <c r="M24" s="308" t="inlineStr">
        <is>
          <t>GOOG 10k 2025.pdf | p.49 | Consolidated Statements of Income | Income before income taxes | as-printed: 158,826</t>
        </is>
      </c>
      <c r="N24" s="220" t="n">
        <v>28315</v>
      </c>
      <c r="O24" s="220" t="n">
        <v>27551</v>
      </c>
      <c r="P24" s="220" t="n">
        <v>31706</v>
      </c>
      <c r="Q24" s="220" t="n">
        <v>32243</v>
      </c>
      <c r="R24" s="220" t="n">
        <v>41789</v>
      </c>
      <c r="S24" s="220" t="n">
        <v>33933</v>
      </c>
      <c r="T24" s="220" t="n">
        <v>43987</v>
      </c>
      <c r="U24" s="220" t="n">
        <v>39117</v>
      </c>
      <c r="V24" s="258" t="n">
        <v>77412</v>
      </c>
      <c r="W24" s="258" t="n">
        <v>138753</v>
      </c>
      <c r="X24" s="455" t="n"/>
      <c r="Y24" s="455" t="n"/>
    </row>
    <row r="25" ht="15" customHeight="1" s="74">
      <c r="A25" s="17" t="inlineStr">
        <is>
          <t>Tax Expense</t>
        </is>
      </c>
      <c r="B25" s="388" t="n">
        <v>3303</v>
      </c>
      <c r="C25" s="388" t="n">
        <v>4672</v>
      </c>
      <c r="D25" s="388" t="n">
        <v>14531</v>
      </c>
      <c r="E25" s="388" t="n">
        <v>4177</v>
      </c>
      <c r="F25" s="388" t="n">
        <v>5282</v>
      </c>
      <c r="G25" s="388" t="n">
        <v>7813</v>
      </c>
      <c r="H25" s="388" t="n">
        <v>14701</v>
      </c>
      <c r="I25" s="388" t="n">
        <v>11356</v>
      </c>
      <c r="J25" s="388" t="n">
        <v>11922</v>
      </c>
      <c r="K25" s="388" t="n">
        <v>19697</v>
      </c>
      <c r="L25" s="388" t="n">
        <v>26656</v>
      </c>
      <c r="M25" s="308" t="inlineStr">
        <is>
          <t>GOOG 10k 2025.pdf | p.49 | Consolidated Statements of Income | Provision for income taxes | as-printed: 26,656</t>
        </is>
      </c>
      <c r="N25" s="389" t="n">
        <v>4653</v>
      </c>
      <c r="O25" s="389" t="n">
        <v>3932</v>
      </c>
      <c r="P25" s="389" t="n">
        <v>5405</v>
      </c>
      <c r="Q25" s="389" t="n">
        <v>5707</v>
      </c>
      <c r="R25" s="389" t="n">
        <v>7249</v>
      </c>
      <c r="S25" s="389" t="n">
        <v>5737</v>
      </c>
      <c r="T25" s="389" t="n">
        <v>9008</v>
      </c>
      <c r="U25" s="389" t="n">
        <v>4662</v>
      </c>
      <c r="V25" s="390" t="n">
        <v>14834</v>
      </c>
      <c r="W25" s="390" t="n">
        <v>26560</v>
      </c>
      <c r="X25" s="454" t="n"/>
      <c r="Y25" s="454" t="n"/>
    </row>
    <row r="26" ht="15" customHeight="1" s="74">
      <c r="A26" s="15" t="inlineStr">
        <is>
          <t>Net Income</t>
        </is>
      </c>
      <c r="B26" s="379" t="n">
        <v>16348</v>
      </c>
      <c r="C26" s="379" t="n">
        <v>19478</v>
      </c>
      <c r="D26" s="379" t="n">
        <v>12662</v>
      </c>
      <c r="E26" s="379" t="n">
        <v>30736</v>
      </c>
      <c r="F26" s="379" t="n">
        <v>34343</v>
      </c>
      <c r="G26" s="379" t="n">
        <v>40269</v>
      </c>
      <c r="H26" s="379" t="n">
        <v>76033</v>
      </c>
      <c r="I26" s="379" t="n">
        <v>59972</v>
      </c>
      <c r="J26" s="379" t="n">
        <v>73795</v>
      </c>
      <c r="K26" s="379" t="n">
        <v>100118</v>
      </c>
      <c r="L26" s="379" t="n">
        <v>132170</v>
      </c>
      <c r="M26" s="308" t="inlineStr">
        <is>
          <t>GOOG 10k 2025.pdf | p.49 | Consolidated Statements of Income | Net income | as-printed: 132,170</t>
        </is>
      </c>
      <c r="N26" s="380" t="n">
        <v>23662</v>
      </c>
      <c r="O26" s="380" t="n">
        <v>23619</v>
      </c>
      <c r="P26" s="380" t="n">
        <v>26301</v>
      </c>
      <c r="Q26" s="380" t="n">
        <v>26536</v>
      </c>
      <c r="R26" s="380" t="n">
        <v>34540</v>
      </c>
      <c r="S26" s="380" t="n">
        <v>28196</v>
      </c>
      <c r="T26" s="380" t="n">
        <v>34979</v>
      </c>
      <c r="U26" s="380" t="n">
        <v>34455</v>
      </c>
      <c r="V26" s="381" t="n">
        <v>62578</v>
      </c>
      <c r="W26" s="381" t="n">
        <v>112193</v>
      </c>
      <c r="X26" s="454" t="n"/>
      <c r="Y26" s="454" t="n"/>
    </row>
    <row r="27" ht="15" customHeight="1" s="74">
      <c r="A27" s="17" t="inlineStr">
        <is>
          <t>Diluted EPS</t>
        </is>
      </c>
      <c r="B27" s="391" t="n">
        <v>22.84</v>
      </c>
      <c r="C27" s="391" t="n">
        <v>27.85</v>
      </c>
      <c r="D27" s="391" t="n">
        <v>18</v>
      </c>
      <c r="E27" s="391" t="n">
        <v>43.7</v>
      </c>
      <c r="F27" s="391" t="n">
        <v>49.16</v>
      </c>
      <c r="G27" s="391" t="n">
        <v>58.61</v>
      </c>
      <c r="H27" s="391" t="n">
        <v>112.2</v>
      </c>
      <c r="I27" s="391" t="n">
        <v>4.56</v>
      </c>
      <c r="J27" s="391" t="n">
        <v>5.8</v>
      </c>
      <c r="K27" s="391" t="n">
        <v>8.039999999999999</v>
      </c>
      <c r="L27" s="391" t="n">
        <v>10.81</v>
      </c>
      <c r="M27" s="308" t="inlineStr">
        <is>
          <t>GOOG 10k 2025.pdf | p.49 | Consolidated Statements of Income | Diluted net income per share (Note 12) | as-printed: 10.81</t>
        </is>
      </c>
      <c r="N27" s="392" t="n">
        <v>1.89</v>
      </c>
      <c r="O27" s="392" t="n">
        <v>1.89</v>
      </c>
      <c r="P27" s="392" t="n">
        <v>2.12</v>
      </c>
      <c r="Q27" s="392" t="n"/>
      <c r="R27" s="392" t="n">
        <v>2.81</v>
      </c>
      <c r="S27" s="392" t="n">
        <v>2.31</v>
      </c>
      <c r="T27" s="392" t="n">
        <v>2.87</v>
      </c>
      <c r="U27" s="392" t="n"/>
      <c r="V27" s="384" t="n">
        <v>5.11</v>
      </c>
      <c r="W27" s="384" t="n">
        <v>9.109999999999999</v>
      </c>
      <c r="X27" s="454" t="n"/>
      <c r="Y27" s="454" t="n"/>
    </row>
    <row r="28" ht="15" customHeight="1" s="74">
      <c r="A28" s="15" t="inlineStr">
        <is>
          <t>Diluted Shares Out. (M)</t>
        </is>
      </c>
      <c r="B28" s="393" t="n">
        <v>692.9299999999999</v>
      </c>
      <c r="C28" s="393" t="n">
        <v>698.706</v>
      </c>
      <c r="D28" s="393" t="n">
        <v>703.5839999999999</v>
      </c>
      <c r="E28" s="393" t="n">
        <v>703.285</v>
      </c>
      <c r="F28" s="393" t="n">
        <v>698.556</v>
      </c>
      <c r="G28" s="393" t="n">
        <v>687.028</v>
      </c>
      <c r="H28" s="393" t="n">
        <v>677.674</v>
      </c>
      <c r="I28" s="393" t="n">
        <v>13159</v>
      </c>
      <c r="J28" s="393" t="n">
        <v>12722</v>
      </c>
      <c r="K28" s="393" t="n">
        <v>12447</v>
      </c>
      <c r="L28" s="393" t="n">
        <v>12230</v>
      </c>
      <c r="M28" s="308" t="n">
        <v>12230</v>
      </c>
      <c r="N28" s="394" t="n">
        <v>12527</v>
      </c>
      <c r="O28" s="394" t="n">
        <v>12495</v>
      </c>
      <c r="P28" s="394" t="n">
        <v>12419</v>
      </c>
      <c r="Q28" s="394" t="n"/>
      <c r="R28" s="394" t="n">
        <v>12291</v>
      </c>
      <c r="S28" s="394" t="n">
        <v>12198</v>
      </c>
      <c r="T28" s="394" t="n">
        <v>12203</v>
      </c>
      <c r="U28" s="394" t="n"/>
      <c r="V28" s="381" t="n">
        <v>12238</v>
      </c>
      <c r="W28" s="381" t="n">
        <v>12309</v>
      </c>
      <c r="X28" s="454" t="n"/>
      <c r="Y28" s="45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>
        <v>16549</v>
      </c>
      <c r="C32" s="379" t="n">
        <v>12918</v>
      </c>
      <c r="D32" s="379" t="n">
        <v>10715</v>
      </c>
      <c r="E32" s="379" t="n">
        <v>16701</v>
      </c>
      <c r="F32" s="379" t="n">
        <v>18498</v>
      </c>
      <c r="G32" s="379" t="n">
        <v>26465</v>
      </c>
      <c r="H32" s="379" t="n">
        <v>20945</v>
      </c>
      <c r="I32" s="379" t="n">
        <v>21879</v>
      </c>
      <c r="J32" s="379" t="n">
        <v>24048</v>
      </c>
      <c r="K32" s="379" t="n">
        <v>23466</v>
      </c>
      <c r="L32" s="379" t="n">
        <v>30708</v>
      </c>
      <c r="M32" s="308" t="inlineStr">
        <is>
          <t>GOOG 10k 2025.pdf | p.48 | Consolidated Balance Sheets | Cash and cash equivalents | as-printed: 30,708</t>
        </is>
      </c>
      <c r="N32" s="380" t="n">
        <v>24493</v>
      </c>
      <c r="O32" s="380" t="n">
        <v>27225</v>
      </c>
      <c r="P32" s="380" t="n">
        <v>19959</v>
      </c>
      <c r="Q32" s="380" t="n">
        <v>23466</v>
      </c>
      <c r="R32" s="380" t="n">
        <v>23264</v>
      </c>
      <c r="S32" s="380" t="n">
        <v>21036</v>
      </c>
      <c r="T32" s="380" t="n">
        <v>23090</v>
      </c>
      <c r="U32" s="380" t="n">
        <v>30708</v>
      </c>
      <c r="V32" s="381" t="n">
        <v>38063</v>
      </c>
      <c r="W32" s="381" t="n">
        <v>55911</v>
      </c>
      <c r="X32" s="454" t="n"/>
      <c r="Y32" s="454" t="n"/>
    </row>
    <row r="33" ht="15" customHeight="1" s="74">
      <c r="A33" s="17" t="inlineStr">
        <is>
          <t>Short-term Debt</t>
        </is>
      </c>
      <c r="B33" s="382" t="n">
        <v>0</v>
      </c>
      <c r="C33" s="382" t="n">
        <v>0</v>
      </c>
      <c r="D33" s="382" t="n">
        <v>0</v>
      </c>
      <c r="E33" s="382" t="n">
        <v>0</v>
      </c>
      <c r="F33" s="382" t="n">
        <v>115</v>
      </c>
      <c r="G33" s="382" t="n">
        <v>1100</v>
      </c>
      <c r="H33" s="382" t="n">
        <v>113</v>
      </c>
      <c r="I33" s="382" t="n">
        <v>298</v>
      </c>
      <c r="J33" s="382" t="n">
        <v>1363</v>
      </c>
      <c r="K33" s="382" t="n">
        <v>3299</v>
      </c>
      <c r="L33" s="382" t="n">
        <v>1996</v>
      </c>
      <c r="M33" s="308" t="inlineStr">
        <is>
          <t>GOOG 10k 2025.pdf | p.71 | Note 6 - Debt | Less: current portion of long-term notes | as-printed: 1,996</t>
        </is>
      </c>
      <c r="N33" s="383" t="n">
        <v>0</v>
      </c>
      <c r="O33" s="383" t="n">
        <v>918</v>
      </c>
      <c r="P33" s="383" t="n">
        <v>1999</v>
      </c>
      <c r="Q33" s="383" t="n">
        <v>3299</v>
      </c>
      <c r="R33" s="383" t="n">
        <v>0</v>
      </c>
      <c r="S33" s="383" t="n">
        <v>1000</v>
      </c>
      <c r="T33" s="383" t="n">
        <v>3000</v>
      </c>
      <c r="U33" s="383" t="n">
        <v>1996</v>
      </c>
      <c r="V33" s="384" t="n">
        <v>1998</v>
      </c>
      <c r="W33" s="384" t="n">
        <v>1999</v>
      </c>
      <c r="X33" s="454" t="n"/>
      <c r="Y33" s="454" t="n"/>
    </row>
    <row r="34" ht="15" customHeight="1" s="74">
      <c r="A34" s="15" t="inlineStr">
        <is>
          <t>Long-term Debt</t>
        </is>
      </c>
      <c r="B34" s="379" t="n">
        <v>0</v>
      </c>
      <c r="C34" s="379" t="n">
        <v>3935</v>
      </c>
      <c r="D34" s="379" t="n">
        <v>3969</v>
      </c>
      <c r="E34" s="379" t="n">
        <v>4012</v>
      </c>
      <c r="F34" s="379" t="n">
        <v>4554</v>
      </c>
      <c r="G34" s="379" t="n">
        <v>13932</v>
      </c>
      <c r="H34" s="379" t="n">
        <v>14817</v>
      </c>
      <c r="I34" s="379" t="n">
        <v>14701</v>
      </c>
      <c r="J34" s="379" t="n">
        <v>13253</v>
      </c>
      <c r="K34" s="379" t="n">
        <v>10883</v>
      </c>
      <c r="L34" s="379" t="n">
        <v>46547</v>
      </c>
      <c r="M34" s="308" t="inlineStr">
        <is>
          <t>GOOG 10k 2025.pdf | p.48 | Consolidated Balance Sheets | Long-term debt | as-printed: 46,547</t>
        </is>
      </c>
      <c r="N34" s="380" t="n">
        <v>13228</v>
      </c>
      <c r="O34" s="380" t="n">
        <v>13238</v>
      </c>
      <c r="P34" s="380" t="n">
        <v>12297</v>
      </c>
      <c r="Q34" s="380" t="n">
        <v>10883</v>
      </c>
      <c r="R34" s="380" t="n">
        <v>10886</v>
      </c>
      <c r="S34" s="380" t="n">
        <v>23607</v>
      </c>
      <c r="T34" s="380" t="n">
        <v>21607</v>
      </c>
      <c r="U34" s="380" t="n">
        <v>46547</v>
      </c>
      <c r="V34" s="381" t="n">
        <v>77501</v>
      </c>
      <c r="W34" s="381" t="n">
        <v>98165</v>
      </c>
      <c r="X34" s="454" t="n"/>
      <c r="Y34" s="454" t="n"/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5">
        <f>IF(AND(NOT(ISNUMBER(Data!X33)),NOT(ISNUMBER(Data!X34))),"-",Data!X33+Data!X34)</f>
        <v/>
      </c>
      <c r="Y35" s="45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5">
        <f>IFERROR(IF(OR(NOT(ISNUMBER(Data!X35)),NOT(ISNUMBER(Data!X32))),"-",Data!X35-Data!X32),"-")</f>
        <v/>
      </c>
      <c r="Y36" s="45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>
        <v>105408</v>
      </c>
      <c r="D37" s="382" t="n">
        <v>124308</v>
      </c>
      <c r="E37" s="382" t="n">
        <v>135676</v>
      </c>
      <c r="F37" s="382" t="n">
        <v>152578</v>
      </c>
      <c r="G37" s="382" t="n">
        <v>174296</v>
      </c>
      <c r="H37" s="382" t="n">
        <v>188143</v>
      </c>
      <c r="I37" s="382" t="n">
        <v>164795</v>
      </c>
      <c r="J37" s="382" t="n">
        <v>171530</v>
      </c>
      <c r="K37" s="382" t="n">
        <v>163711</v>
      </c>
      <c r="L37" s="382" t="n">
        <v>206038</v>
      </c>
      <c r="M37" s="308" t="inlineStr">
        <is>
          <t>GOOG 10k 2025.pdf | p.48 | Consolidated Balance Sheets | Total current assets | as-printed: 206,038</t>
        </is>
      </c>
      <c r="N37" s="383" t="n">
        <v>165471</v>
      </c>
      <c r="O37" s="383" t="n">
        <v>161995</v>
      </c>
      <c r="P37" s="383" t="n">
        <v>157541</v>
      </c>
      <c r="Q37" s="383" t="n">
        <v>163711</v>
      </c>
      <c r="R37" s="383" t="n">
        <v>162052</v>
      </c>
      <c r="S37" s="383" t="n">
        <v>166216</v>
      </c>
      <c r="T37" s="383" t="n">
        <v>173947</v>
      </c>
      <c r="U37" s="383" t="n">
        <v>206038</v>
      </c>
      <c r="V37" s="384" t="n">
        <v>213753</v>
      </c>
      <c r="W37" s="384" t="n">
        <v>343524</v>
      </c>
      <c r="X37" s="454" t="n"/>
      <c r="Y37" s="454" t="n"/>
    </row>
    <row r="38" ht="15" customHeight="1" s="74">
      <c r="A38" s="15" t="inlineStr">
        <is>
          <t>Total Current Liabilities</t>
        </is>
      </c>
      <c r="B38" s="379" t="n"/>
      <c r="C38" s="379" t="n">
        <v>16756</v>
      </c>
      <c r="D38" s="379" t="n">
        <v>24183</v>
      </c>
      <c r="E38" s="379" t="n">
        <v>34620</v>
      </c>
      <c r="F38" s="379" t="n">
        <v>45221</v>
      </c>
      <c r="G38" s="379" t="n">
        <v>56834</v>
      </c>
      <c r="H38" s="379" t="n">
        <v>64254</v>
      </c>
      <c r="I38" s="379" t="n">
        <v>69300</v>
      </c>
      <c r="J38" s="379" t="n">
        <v>81814</v>
      </c>
      <c r="K38" s="379" t="n">
        <v>89122</v>
      </c>
      <c r="L38" s="379" t="n">
        <v>102745</v>
      </c>
      <c r="M38" s="308" t="inlineStr">
        <is>
          <t>GOOG 10k 2025.pdf | p.48 | Consolidated Balance Sheets | Total current liabilities | as-printed: 102,745</t>
        </is>
      </c>
      <c r="N38" s="380" t="n">
        <v>76997</v>
      </c>
      <c r="O38" s="380" t="n">
        <v>77913</v>
      </c>
      <c r="P38" s="380" t="n">
        <v>80803</v>
      </c>
      <c r="Q38" s="380" t="n">
        <v>89122</v>
      </c>
      <c r="R38" s="380" t="n">
        <v>91654</v>
      </c>
      <c r="S38" s="380" t="n">
        <v>87310</v>
      </c>
      <c r="T38" s="380" t="n">
        <v>99550</v>
      </c>
      <c r="U38" s="380" t="n">
        <v>102745</v>
      </c>
      <c r="V38" s="381" t="n">
        <v>111188</v>
      </c>
      <c r="W38" s="381" t="n">
        <v>126111</v>
      </c>
      <c r="X38" s="454" t="n"/>
      <c r="Y38" s="454" t="n"/>
    </row>
    <row r="39" ht="15" customHeight="1" s="74">
      <c r="A39" s="17" t="inlineStr">
        <is>
          <t>Total Assets</t>
        </is>
      </c>
      <c r="B39" s="382" t="n"/>
      <c r="C39" s="382" t="n">
        <v>167497</v>
      </c>
      <c r="D39" s="382" t="n">
        <v>197295</v>
      </c>
      <c r="E39" s="382" t="n">
        <v>232792</v>
      </c>
      <c r="F39" s="382" t="n">
        <v>275909</v>
      </c>
      <c r="G39" s="382" t="n">
        <v>319616</v>
      </c>
      <c r="H39" s="382" t="n">
        <v>359268</v>
      </c>
      <c r="I39" s="382" t="n">
        <v>365264</v>
      </c>
      <c r="J39" s="382" t="n">
        <v>402392</v>
      </c>
      <c r="K39" s="382" t="n">
        <v>450256</v>
      </c>
      <c r="L39" s="382" t="n">
        <v>595281</v>
      </c>
      <c r="M39" s="308" t="inlineStr">
        <is>
          <t>GOOG 10k 2025.pdf | p.48 | Consolidated Balance Sheets | Total assets | as-printed: 595,281</t>
        </is>
      </c>
      <c r="N39" s="383" t="n">
        <v>407350</v>
      </c>
      <c r="O39" s="383" t="n">
        <v>414770</v>
      </c>
      <c r="P39" s="383" t="n">
        <v>430266</v>
      </c>
      <c r="Q39" s="383" t="n">
        <v>450256</v>
      </c>
      <c r="R39" s="383" t="n">
        <v>475374</v>
      </c>
      <c r="S39" s="383" t="n">
        <v>502053</v>
      </c>
      <c r="T39" s="383" t="n">
        <v>536469</v>
      </c>
      <c r="U39" s="383" t="n">
        <v>595281</v>
      </c>
      <c r="V39" s="384" t="n">
        <v>703919</v>
      </c>
      <c r="W39" s="384" t="n">
        <v>921983</v>
      </c>
      <c r="X39" s="454" t="n"/>
      <c r="Y39" s="454" t="n"/>
    </row>
    <row r="40" ht="15" customHeight="1" s="74">
      <c r="A40" s="15" t="inlineStr">
        <is>
          <t>Total Liabilities</t>
        </is>
      </c>
      <c r="B40" s="388" t="n"/>
      <c r="C40" s="388" t="n">
        <v>28461</v>
      </c>
      <c r="D40" s="388" t="n">
        <v>44793</v>
      </c>
      <c r="E40" s="388" t="n">
        <v>55164</v>
      </c>
      <c r="F40" s="388" t="n">
        <v>74467</v>
      </c>
      <c r="G40" s="388" t="n">
        <v>97072</v>
      </c>
      <c r="H40" s="388" t="n">
        <v>107633</v>
      </c>
      <c r="I40" s="388" t="n">
        <v>109120</v>
      </c>
      <c r="J40" s="388" t="n">
        <v>119013</v>
      </c>
      <c r="K40" s="388" t="n">
        <v>125172</v>
      </c>
      <c r="L40" s="388" t="n">
        <v>180016</v>
      </c>
      <c r="M40" s="308" t="inlineStr">
        <is>
          <t>GOOG 10k 2025.pdf | p.48 | Consolidated Balance Sheets | Total liabilities | as-printed: 180,016</t>
        </is>
      </c>
      <c r="N40" s="389" t="n">
        <v>114506</v>
      </c>
      <c r="O40" s="389" t="n">
        <v>114017</v>
      </c>
      <c r="P40" s="389" t="n">
        <v>116147</v>
      </c>
      <c r="Q40" s="389" t="n">
        <v>125172</v>
      </c>
      <c r="R40" s="389" t="n">
        <v>130107</v>
      </c>
      <c r="S40" s="389" t="n">
        <v>139137</v>
      </c>
      <c r="T40" s="389" t="n">
        <v>149602</v>
      </c>
      <c r="U40" s="389" t="n">
        <v>180016</v>
      </c>
      <c r="V40" s="390" t="n">
        <v>225173</v>
      </c>
      <c r="W40" s="390" t="n">
        <v>281503</v>
      </c>
      <c r="X40" s="454" t="n"/>
      <c r="Y40" s="454" t="n"/>
    </row>
    <row r="41" ht="15" customHeight="1" s="74">
      <c r="A41" s="17" t="inlineStr">
        <is>
          <t>Shareholders' Equity</t>
        </is>
      </c>
      <c r="B41" s="382" t="n">
        <v>120331</v>
      </c>
      <c r="C41" s="382" t="n">
        <v>139036</v>
      </c>
      <c r="D41" s="382" t="n">
        <v>152502</v>
      </c>
      <c r="E41" s="382" t="n">
        <v>177628</v>
      </c>
      <c r="F41" s="382" t="n">
        <v>201442</v>
      </c>
      <c r="G41" s="382" t="n">
        <v>222544</v>
      </c>
      <c r="H41" s="382" t="n">
        <v>251635</v>
      </c>
      <c r="I41" s="382" t="n">
        <v>256144</v>
      </c>
      <c r="J41" s="382" t="n">
        <v>283379</v>
      </c>
      <c r="K41" s="382" t="n">
        <v>325084</v>
      </c>
      <c r="L41" s="382" t="n">
        <v>415265</v>
      </c>
      <c r="M41" s="308" t="inlineStr">
        <is>
          <t>GOOG 10k 2025.pdf | p.48 | Consolidated Balance Sheets | Total stockholders' equity | as-printed: 415,265</t>
        </is>
      </c>
      <c r="N41" s="383" t="n">
        <v>292844</v>
      </c>
      <c r="O41" s="383" t="n">
        <v>300753</v>
      </c>
      <c r="P41" s="383" t="n">
        <v>314119</v>
      </c>
      <c r="Q41" s="383" t="n">
        <v>325084</v>
      </c>
      <c r="R41" s="383" t="n">
        <v>345267</v>
      </c>
      <c r="S41" s="383" t="n">
        <v>362916</v>
      </c>
      <c r="T41" s="383" t="n">
        <v>386867</v>
      </c>
      <c r="U41" s="383" t="n">
        <v>415265</v>
      </c>
      <c r="V41" s="384" t="n">
        <v>478746</v>
      </c>
      <c r="W41" s="384" t="n">
        <v>640480</v>
      </c>
      <c r="X41" s="454" t="n"/>
      <c r="Y41" s="454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>
        <v>0</v>
      </c>
      <c r="O42" s="380" t="n">
        <v>0</v>
      </c>
      <c r="P42" s="380" t="n">
        <v>0</v>
      </c>
      <c r="Q42" s="380" t="n"/>
      <c r="R42" s="380" t="n">
        <v>0</v>
      </c>
      <c r="S42" s="380" t="n">
        <v>0</v>
      </c>
      <c r="T42" s="380" t="n">
        <v>0</v>
      </c>
      <c r="U42" s="380" t="n"/>
      <c r="V42" s="381" t="n">
        <v>0</v>
      </c>
      <c r="W42" s="381" t="n">
        <v>0</v>
      </c>
      <c r="X42" s="454" t="n"/>
      <c r="Y42" s="454" t="n"/>
    </row>
    <row r="43" ht="15" customHeight="1" s="74">
      <c r="A43" s="17" t="inlineStr">
        <is>
          <t>Intangible Assets &amp; Goodwill</t>
        </is>
      </c>
      <c r="B43" s="382" t="n"/>
      <c r="C43" s="382" t="n">
        <v>16468</v>
      </c>
      <c r="D43" s="382" t="n">
        <v>16747</v>
      </c>
      <c r="E43" s="382" t="n">
        <v>17888</v>
      </c>
      <c r="F43" s="382" t="n">
        <v>20624</v>
      </c>
      <c r="G43" s="382" t="n">
        <v>21175</v>
      </c>
      <c r="H43" s="382" t="n">
        <v>22956</v>
      </c>
      <c r="I43" s="382" t="n">
        <v>28960</v>
      </c>
      <c r="J43" s="382" t="n">
        <v>29198</v>
      </c>
      <c r="K43" s="382" t="n">
        <v>31885</v>
      </c>
      <c r="L43" s="382" t="n">
        <v>33380</v>
      </c>
      <c r="M43" s="308" t="inlineStr">
        <is>
          <t>GOOG 10k 2025.pdf | p.48 | Consolidated Balance Sheets | Goodwill | as-printed: 33,380</t>
        </is>
      </c>
      <c r="N43" s="383" t="n">
        <v>29183</v>
      </c>
      <c r="O43" s="383" t="n">
        <v>29185</v>
      </c>
      <c r="P43" s="383" t="n">
        <v>31935</v>
      </c>
      <c r="Q43" s="383" t="n">
        <v>31885</v>
      </c>
      <c r="R43" s="383" t="n">
        <v>32173</v>
      </c>
      <c r="S43" s="383" t="n">
        <v>32335</v>
      </c>
      <c r="T43" s="383" t="n">
        <v>33269</v>
      </c>
      <c r="U43" s="383" t="n">
        <v>33380</v>
      </c>
      <c r="V43" s="384" t="n">
        <v>57774</v>
      </c>
      <c r="W43" s="384" t="n">
        <v>57828</v>
      </c>
      <c r="X43" s="454" t="n"/>
      <c r="Y43" s="454" t="n"/>
    </row>
    <row r="44" ht="15" customHeight="1" s="74">
      <c r="A44" s="15" t="inlineStr">
        <is>
          <t>PP&amp;E</t>
        </is>
      </c>
      <c r="B44" s="379" t="n"/>
      <c r="C44" s="379" t="n">
        <v>34234</v>
      </c>
      <c r="D44" s="379" t="n">
        <v>42383</v>
      </c>
      <c r="E44" s="379" t="n">
        <v>59719</v>
      </c>
      <c r="F44" s="379" t="n">
        <v>73646</v>
      </c>
      <c r="G44" s="379" t="n">
        <v>84749</v>
      </c>
      <c r="H44" s="379" t="n">
        <v>97599</v>
      </c>
      <c r="I44" s="379" t="n">
        <v>112668</v>
      </c>
      <c r="J44" s="379" t="n">
        <v>134345</v>
      </c>
      <c r="K44" s="379" t="n">
        <v>171036</v>
      </c>
      <c r="L44" s="379" t="n">
        <v>246597</v>
      </c>
      <c r="M44" s="308" t="inlineStr">
        <is>
          <t>GOOG 10k 2025.pdf | p.48 | Consolidated Balance Sheets | Property and equipment, net | as-printed: 246,597</t>
        </is>
      </c>
      <c r="N44" s="380" t="n">
        <v>143182</v>
      </c>
      <c r="O44" s="380" t="n">
        <v>151155</v>
      </c>
      <c r="P44" s="380" t="n">
        <v>161270</v>
      </c>
      <c r="Q44" s="380" t="n">
        <v>171036</v>
      </c>
      <c r="R44" s="380" t="n">
        <v>185062</v>
      </c>
      <c r="S44" s="380" t="n">
        <v>203231</v>
      </c>
      <c r="T44" s="380" t="n">
        <v>223787</v>
      </c>
      <c r="U44" s="380" t="n">
        <v>246597</v>
      </c>
      <c r="V44" s="381" t="n">
        <v>281020</v>
      </c>
      <c r="W44" s="381" t="n">
        <v>321212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>
        <v>14137</v>
      </c>
      <c r="D45" s="382" t="n">
        <v>18336</v>
      </c>
      <c r="E45" s="382" t="n">
        <v>20838</v>
      </c>
      <c r="F45" s="382" t="n">
        <v>25326</v>
      </c>
      <c r="G45" s="382" t="n">
        <v>30930</v>
      </c>
      <c r="H45" s="382" t="n">
        <v>39304</v>
      </c>
      <c r="I45" s="382" t="n">
        <v>40258</v>
      </c>
      <c r="J45" s="382" t="n">
        <v>47964</v>
      </c>
      <c r="K45" s="382" t="n">
        <v>52340</v>
      </c>
      <c r="L45" s="382" t="n">
        <v>62886</v>
      </c>
      <c r="M45" s="308" t="inlineStr">
        <is>
          <t>GOOG 10k 2025.pdf | p.48 | Consolidated Balance Sheets | Accounts receivable, net | as-printed: 62,886</t>
        </is>
      </c>
      <c r="N45" s="383" t="n">
        <v>44552</v>
      </c>
      <c r="O45" s="383" t="n">
        <v>47087</v>
      </c>
      <c r="P45" s="383" t="n">
        <v>49104</v>
      </c>
      <c r="Q45" s="383" t="n">
        <v>52340</v>
      </c>
      <c r="R45" s="383" t="n">
        <v>51000</v>
      </c>
      <c r="S45" s="383" t="n">
        <v>55048</v>
      </c>
      <c r="T45" s="383" t="n">
        <v>57148</v>
      </c>
      <c r="U45" s="383" t="n">
        <v>62886</v>
      </c>
      <c r="V45" s="384" t="n">
        <v>62999</v>
      </c>
      <c r="W45" s="384" t="n">
        <v>69175</v>
      </c>
      <c r="X45" s="454" t="n"/>
      <c r="Y45" s="454" t="n"/>
    </row>
    <row r="46" ht="15" customHeight="1" s="74">
      <c r="A46" s="15" t="inlineStr">
        <is>
          <t>Payables</t>
        </is>
      </c>
      <c r="B46" s="379" t="n"/>
      <c r="C46" s="379" t="n">
        <v>2041</v>
      </c>
      <c r="D46" s="379" t="n">
        <v>3137</v>
      </c>
      <c r="E46" s="379" t="n">
        <v>4378</v>
      </c>
      <c r="F46" s="379" t="n">
        <v>5561</v>
      </c>
      <c r="G46" s="379" t="n">
        <v>5589</v>
      </c>
      <c r="H46" s="379" t="n">
        <v>6037</v>
      </c>
      <c r="I46" s="379" t="n">
        <v>5128</v>
      </c>
      <c r="J46" s="379" t="n">
        <v>7493</v>
      </c>
      <c r="K46" s="379" t="n">
        <v>7987</v>
      </c>
      <c r="L46" s="379" t="n">
        <v>12200</v>
      </c>
      <c r="M46" s="308" t="inlineStr">
        <is>
          <t>GOOG 10k 2025.pdf | p.48 | Consolidated Balance Sheets | Accounts payable | as-printed: 12,200</t>
        </is>
      </c>
      <c r="N46" s="380" t="n">
        <v>6198</v>
      </c>
      <c r="O46" s="380" t="n">
        <v>6092</v>
      </c>
      <c r="P46" s="380" t="n">
        <v>7049</v>
      </c>
      <c r="Q46" s="380" t="n">
        <v>7987</v>
      </c>
      <c r="R46" s="380" t="n">
        <v>8497</v>
      </c>
      <c r="S46" s="380" t="n">
        <v>8347</v>
      </c>
      <c r="T46" s="380" t="n">
        <v>10546</v>
      </c>
      <c r="U46" s="380" t="n">
        <v>12200</v>
      </c>
      <c r="V46" s="381" t="n">
        <v>16852</v>
      </c>
      <c r="W46" s="381" t="n">
        <v>20258</v>
      </c>
      <c r="X46" s="454" t="n"/>
      <c r="Y46" s="454" t="n"/>
    </row>
    <row r="47" ht="15" customHeight="1" s="74">
      <c r="A47" s="17" t="inlineStr">
        <is>
          <t>Inventory</t>
        </is>
      </c>
      <c r="B47" s="382" t="n"/>
      <c r="C47" s="382" t="n">
        <v>268</v>
      </c>
      <c r="D47" s="382" t="n">
        <v>749</v>
      </c>
      <c r="E47" s="382" t="n">
        <v>1107</v>
      </c>
      <c r="F47" s="382" t="n">
        <v>999</v>
      </c>
      <c r="G47" s="382" t="n">
        <v>728</v>
      </c>
      <c r="H47" s="382" t="n">
        <v>1170</v>
      </c>
      <c r="I47" s="382" t="n">
        <v>2670</v>
      </c>
      <c r="J47" s="382" t="n"/>
      <c r="K47" s="382" t="n"/>
      <c r="L47" s="382" t="n"/>
      <c r="M47" s="308" t="inlineStr">
        <is>
          <t>GOOG 10k 2022.pdf | p.47 | Consolidated Balance Sheets | Inventory | as-printed: 2,670</t>
        </is>
      </c>
      <c r="N47" s="383" t="n">
        <v>0</v>
      </c>
      <c r="O47" s="383" t="n">
        <v>0</v>
      </c>
      <c r="P47" s="383" t="n">
        <v>0</v>
      </c>
      <c r="Q47" s="383" t="n"/>
      <c r="R47" s="383" t="n">
        <v>0</v>
      </c>
      <c r="S47" s="383" t="n">
        <v>0</v>
      </c>
      <c r="T47" s="383" t="n">
        <v>0</v>
      </c>
      <c r="U47" s="383" t="n"/>
      <c r="V47" s="384" t="n">
        <v>0</v>
      </c>
      <c r="W47" s="384" t="n">
        <v>9991</v>
      </c>
      <c r="X47" s="454" t="n"/>
      <c r="Y47" s="454" t="n"/>
    </row>
    <row r="48" ht="15" customHeight="1" s="74">
      <c r="A48" s="10" t="inlineStr">
        <is>
          <t>Retained Earnings</t>
        </is>
      </c>
      <c r="B48" s="432" t="n">
        <v>89223</v>
      </c>
      <c r="C48" s="432" t="n">
        <v>105131</v>
      </c>
      <c r="D48" s="432" t="n">
        <v>113247</v>
      </c>
      <c r="E48" s="432" t="n">
        <v>134885</v>
      </c>
      <c r="F48" s="432" t="n">
        <v>152122</v>
      </c>
      <c r="G48" s="432" t="n">
        <v>163401</v>
      </c>
      <c r="H48" s="432" t="n">
        <v>191484</v>
      </c>
      <c r="I48" s="432" t="n">
        <v>195563</v>
      </c>
      <c r="J48" s="432" t="n">
        <v>211247</v>
      </c>
      <c r="K48" s="432" t="n">
        <v>245084</v>
      </c>
      <c r="L48" s="432" t="n">
        <v>324055</v>
      </c>
      <c r="M48" s="308" t="inlineStr">
        <is>
          <t>GOOG 10k 2025.pdf | p.48 | Consolidated Balance Sheets | Retained earnings | as-printed: 324,055</t>
        </is>
      </c>
      <c r="N48" s="433" t="n">
        <v>219770</v>
      </c>
      <c r="O48" s="433" t="n">
        <v>226033</v>
      </c>
      <c r="P48" s="433" t="n">
        <v>235317</v>
      </c>
      <c r="Q48" s="433" t="n">
        <v>245084</v>
      </c>
      <c r="R48" s="433" t="n">
        <v>262628</v>
      </c>
      <c r="S48" s="433" t="n">
        <v>275760</v>
      </c>
      <c r="T48" s="433" t="n">
        <v>297226</v>
      </c>
      <c r="U48" s="433" t="n">
        <v>324055</v>
      </c>
      <c r="V48" s="433" t="n">
        <v>384024</v>
      </c>
      <c r="W48" s="433" t="n">
        <v>493371</v>
      </c>
      <c r="X48" s="456" t="n"/>
      <c r="Y48" s="45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>
        <v>26572</v>
      </c>
      <c r="C51" s="382" t="n">
        <v>36036</v>
      </c>
      <c r="D51" s="382" t="n">
        <v>37091</v>
      </c>
      <c r="E51" s="382" t="n">
        <v>47971</v>
      </c>
      <c r="F51" s="382" t="n">
        <v>54520</v>
      </c>
      <c r="G51" s="382" t="n">
        <v>65124</v>
      </c>
      <c r="H51" s="382" t="n">
        <v>91652</v>
      </c>
      <c r="I51" s="382" t="n">
        <v>91495</v>
      </c>
      <c r="J51" s="382" t="n">
        <v>101746</v>
      </c>
      <c r="K51" s="382" t="n">
        <v>125299</v>
      </c>
      <c r="L51" s="382" t="n">
        <v>164713</v>
      </c>
      <c r="M51" s="308" t="inlineStr">
        <is>
          <t>GOOG 10k 2025.pdf | p.52 | Consolidated Statements of Cash Flows | Net cash provided by operating activities | as-printed: 164,713</t>
        </is>
      </c>
      <c r="N51" s="383" t="n">
        <v>28848</v>
      </c>
      <c r="O51" s="383" t="n">
        <v>26640</v>
      </c>
      <c r="P51" s="383" t="n">
        <v>30698</v>
      </c>
      <c r="Q51" s="383" t="n">
        <v>39113</v>
      </c>
      <c r="R51" s="383" t="n">
        <v>36150</v>
      </c>
      <c r="S51" s="383" t="n">
        <v>27747</v>
      </c>
      <c r="T51" s="383" t="n">
        <v>48414</v>
      </c>
      <c r="U51" s="383" t="n">
        <v>52402</v>
      </c>
      <c r="V51" s="384" t="n">
        <v>45790</v>
      </c>
      <c r="W51" s="384" t="n">
        <v>39069</v>
      </c>
      <c r="X51" s="454" t="n"/>
      <c r="Y51" s="454" t="n"/>
    </row>
    <row r="52" ht="15" customHeight="1" s="74">
      <c r="A52" s="15" t="inlineStr">
        <is>
          <t>Capital Expenditures</t>
        </is>
      </c>
      <c r="B52" s="379" t="n">
        <v>9950</v>
      </c>
      <c r="C52" s="379" t="n">
        <v>10212</v>
      </c>
      <c r="D52" s="379" t="n">
        <v>13184</v>
      </c>
      <c r="E52" s="379" t="n">
        <v>25139</v>
      </c>
      <c r="F52" s="379" t="n">
        <v>23548</v>
      </c>
      <c r="G52" s="379" t="n">
        <v>22281</v>
      </c>
      <c r="H52" s="379" t="n">
        <v>24640</v>
      </c>
      <c r="I52" s="379" t="n">
        <v>31485</v>
      </c>
      <c r="J52" s="379" t="n">
        <v>32251</v>
      </c>
      <c r="K52" s="379" t="n">
        <v>52535</v>
      </c>
      <c r="L52" s="379" t="n">
        <v>91447</v>
      </c>
      <c r="M52" s="308" t="inlineStr">
        <is>
          <t>GOOG 10k 2025.pdf | p.52 | Consolidated Statements of Cash Flows | Purchases of property and equipment | as-printed: (91,447)</t>
        </is>
      </c>
      <c r="N52" s="380" t="n">
        <v>12012</v>
      </c>
      <c r="O52" s="380" t="n">
        <v>13186</v>
      </c>
      <c r="P52" s="380" t="n">
        <v>13061</v>
      </c>
      <c r="Q52" s="380" t="n">
        <v>14276</v>
      </c>
      <c r="R52" s="380" t="n">
        <v>17197</v>
      </c>
      <c r="S52" s="380" t="n">
        <v>22446</v>
      </c>
      <c r="T52" s="380" t="n">
        <v>23953</v>
      </c>
      <c r="U52" s="380" t="n">
        <v>27851</v>
      </c>
      <c r="V52" s="381" t="n">
        <v>35674</v>
      </c>
      <c r="W52" s="381" t="n">
        <v>44924</v>
      </c>
      <c r="X52" s="454" t="n"/>
      <c r="Y52" s="454" t="n"/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5">
        <f>IFERROR(IF(OR(NOT(ISNUMBER(Data!X51)),NOT(ISNUMBER(Data!X52))),"-",Data!X51-ABS(Data!X52)),"-")</f>
        <v/>
      </c>
      <c r="Y53" s="45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>
        <v>5203</v>
      </c>
      <c r="C54" s="379" t="n">
        <v>6703</v>
      </c>
      <c r="D54" s="379" t="n">
        <v>7679</v>
      </c>
      <c r="E54" s="379" t="n">
        <v>9353</v>
      </c>
      <c r="F54" s="379" t="n">
        <v>10794</v>
      </c>
      <c r="G54" s="379" t="n">
        <v>12991</v>
      </c>
      <c r="H54" s="379" t="n">
        <v>15376</v>
      </c>
      <c r="I54" s="379" t="n">
        <v>19362</v>
      </c>
      <c r="J54" s="379" t="n">
        <v>22460</v>
      </c>
      <c r="K54" s="379" t="n">
        <v>22785</v>
      </c>
      <c r="L54" s="379" t="n">
        <v>24953</v>
      </c>
      <c r="M54" s="308" t="inlineStr">
        <is>
          <t>GOOG 10k 2025.pdf | p.52 | Consolidated Statements of Cash Flows | Stock-based compensation expense | as-printed: 24,953</t>
        </is>
      </c>
      <c r="N54" s="380" t="n">
        <v>5264</v>
      </c>
      <c r="O54" s="380" t="n">
        <v>5865</v>
      </c>
      <c r="P54" s="380" t="n">
        <v>5846</v>
      </c>
      <c r="Q54" s="380" t="n">
        <v>5810</v>
      </c>
      <c r="R54" s="380" t="n">
        <v>5516</v>
      </c>
      <c r="S54" s="380" t="n">
        <v>5998</v>
      </c>
      <c r="T54" s="380" t="n">
        <v>6368</v>
      </c>
      <c r="U54" s="380" t="n">
        <v>7071</v>
      </c>
      <c r="V54" s="381" t="n">
        <v>6751</v>
      </c>
      <c r="W54" s="381" t="n">
        <v>7957</v>
      </c>
      <c r="X54" s="454" t="n"/>
      <c r="Y54" s="454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/>
      <c r="H55" s="382" t="n"/>
      <c r="I55" s="382" t="n">
        <v>0</v>
      </c>
      <c r="J55" s="382" t="n">
        <v>0</v>
      </c>
      <c r="K55" s="382" t="n">
        <v>7363</v>
      </c>
      <c r="L55" s="382" t="n">
        <v>10049</v>
      </c>
      <c r="M55" s="308" t="inlineStr">
        <is>
          <t>GOOG 10k 2025.pdf | p.52 | Consolidated Statements of Cash Flows | Dividend payments | as-printed: (10,049)</t>
        </is>
      </c>
      <c r="N55" s="383" t="n">
        <v>0</v>
      </c>
      <c r="O55" s="383" t="n">
        <v>2466</v>
      </c>
      <c r="P55" s="383" t="n">
        <v>2455</v>
      </c>
      <c r="Q55" s="383" t="n">
        <v>2442</v>
      </c>
      <c r="R55" s="383" t="n">
        <v>2434</v>
      </c>
      <c r="S55" s="383" t="n">
        <v>2543</v>
      </c>
      <c r="T55" s="383" t="n">
        <v>2536</v>
      </c>
      <c r="U55" s="383" t="n">
        <v>2536</v>
      </c>
      <c r="V55" s="384" t="n">
        <v>2542</v>
      </c>
      <c r="W55" s="384" t="n">
        <v>2689</v>
      </c>
      <c r="X55" s="454" t="n"/>
      <c r="Y55" s="454" t="n"/>
    </row>
    <row r="56" ht="15" customHeight="1" s="74">
      <c r="A56" s="15" t="inlineStr">
        <is>
          <t>Share Repurchases</t>
        </is>
      </c>
      <c r="B56" s="379" t="n">
        <v>1780</v>
      </c>
      <c r="C56" s="379" t="n">
        <v>3693</v>
      </c>
      <c r="D56" s="379" t="n">
        <v>4846</v>
      </c>
      <c r="E56" s="379" t="n">
        <v>9075</v>
      </c>
      <c r="F56" s="379" t="n">
        <v>18396</v>
      </c>
      <c r="G56" s="379" t="n">
        <v>31149</v>
      </c>
      <c r="H56" s="379" t="n">
        <v>50274</v>
      </c>
      <c r="I56" s="379" t="n">
        <v>59296</v>
      </c>
      <c r="J56" s="379" t="n">
        <v>61504</v>
      </c>
      <c r="K56" s="379" t="n">
        <v>62222</v>
      </c>
      <c r="L56" s="379" t="n">
        <v>45709</v>
      </c>
      <c r="M56" s="308" t="inlineStr">
        <is>
          <t>GOOG 10k 2025.pdf | p.52 | Consolidated Statements of Cash Flows | Repurchases of stock | as-printed: (45,709)</t>
        </is>
      </c>
      <c r="N56" s="380" t="n">
        <v>15696</v>
      </c>
      <c r="O56" s="380" t="n">
        <v>15684</v>
      </c>
      <c r="P56" s="380" t="n">
        <v>15291</v>
      </c>
      <c r="Q56" s="380" t="n">
        <v>15551</v>
      </c>
      <c r="R56" s="380" t="n">
        <v>15068</v>
      </c>
      <c r="S56" s="380" t="n">
        <v>13638</v>
      </c>
      <c r="T56" s="380" t="n">
        <v>11504</v>
      </c>
      <c r="U56" s="380" t="n">
        <v>5499</v>
      </c>
      <c r="V56" s="381" t="n">
        <v>0</v>
      </c>
      <c r="W56" s="381" t="n">
        <v>0</v>
      </c>
      <c r="X56" s="454" t="n"/>
      <c r="Y56" s="454" t="n"/>
    </row>
    <row r="57">
      <c r="A57" s="2" t="inlineStr">
        <is>
          <t>Historical Share Price (Period-End)</t>
        </is>
      </c>
      <c r="B57" s="2" t="n">
        <v>758.88</v>
      </c>
      <c r="C57" s="2" t="n">
        <v>771.8200000000001</v>
      </c>
      <c r="D57" s="2" t="n">
        <v>1046.4</v>
      </c>
      <c r="E57" s="2" t="n">
        <v>1035.61</v>
      </c>
      <c r="F57" s="2" t="n">
        <v>1337.02</v>
      </c>
      <c r="G57" s="2" t="n">
        <v>1751.88</v>
      </c>
      <c r="H57" s="2" t="n">
        <v>2893.59</v>
      </c>
      <c r="I57" s="2" t="n">
        <v>88.73</v>
      </c>
      <c r="J57" s="2" t="n">
        <v>140.93</v>
      </c>
      <c r="K57" s="2" t="n">
        <v>190.44</v>
      </c>
      <c r="L57" s="2" t="n">
        <v>313.8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7" t="n"/>
      <c r="Y57" s="45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Google Services</t>
        </is>
      </c>
      <c r="B61" s="425" t="n"/>
      <c r="C61" s="425" t="n"/>
      <c r="D61" s="425" t="n"/>
      <c r="E61" s="425" t="n">
        <v>130524</v>
      </c>
      <c r="F61" s="425" t="n">
        <v>151825</v>
      </c>
      <c r="G61" s="425" t="n">
        <v>168635</v>
      </c>
      <c r="H61" s="425" t="n">
        <v>237529</v>
      </c>
      <c r="I61" s="425" t="n">
        <v>253528</v>
      </c>
      <c r="J61" s="425" t="n">
        <v>272543</v>
      </c>
      <c r="K61" s="425" t="n">
        <v>304930</v>
      </c>
      <c r="L61" s="425" t="n">
        <v>342721</v>
      </c>
      <c r="M61" s="261" t="n"/>
      <c r="N61" s="395" t="n">
        <v>70398</v>
      </c>
      <c r="O61" s="395" t="n">
        <v>73928</v>
      </c>
      <c r="P61" s="395" t="n">
        <v>76510</v>
      </c>
      <c r="Q61" s="395" t="n">
        <v>84094</v>
      </c>
      <c r="R61" s="395" t="n">
        <v>77264</v>
      </c>
      <c r="S61" s="395" t="n">
        <v>82543</v>
      </c>
      <c r="T61" s="395" t="n">
        <v>87052</v>
      </c>
      <c r="U61" s="395" t="n">
        <v>95862</v>
      </c>
      <c r="V61" s="395" t="n">
        <v>89637</v>
      </c>
      <c r="W61" s="395" t="n">
        <v>94540</v>
      </c>
      <c r="X61" s="395" t="n"/>
      <c r="Y61" s="395" t="n"/>
    </row>
    <row r="62">
      <c r="A62" s="263" t="inlineStr">
        <is>
          <t>Google</t>
        </is>
      </c>
      <c r="B62" s="426" t="n">
        <v>74544</v>
      </c>
      <c r="C62" s="426" t="n">
        <v>89463</v>
      </c>
      <c r="D62" s="426" t="n">
        <v>109652</v>
      </c>
      <c r="E62" s="426" t="n">
        <v>136224</v>
      </c>
      <c r="F62" s="426" t="n"/>
      <c r="G62" s="426" t="n"/>
      <c r="H62" s="426" t="n"/>
      <c r="I62" s="426" t="n"/>
      <c r="J62" s="426" t="n"/>
      <c r="K62" s="426" t="n"/>
      <c r="L62" s="426" t="n"/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Google Cloud</t>
        </is>
      </c>
      <c r="B63" s="425" t="n"/>
      <c r="C63" s="425" t="n"/>
      <c r="D63" s="425" t="n"/>
      <c r="E63" s="425" t="n">
        <v>5838</v>
      </c>
      <c r="F63" s="425" t="n">
        <v>8918</v>
      </c>
      <c r="G63" s="425" t="n">
        <v>13059</v>
      </c>
      <c r="H63" s="425" t="n">
        <v>19206</v>
      </c>
      <c r="I63" s="425" t="n">
        <v>26280</v>
      </c>
      <c r="J63" s="425" t="n">
        <v>33088</v>
      </c>
      <c r="K63" s="425" t="n">
        <v>43229</v>
      </c>
      <c r="L63" s="425" t="n">
        <v>58705</v>
      </c>
      <c r="M63" s="261" t="n"/>
      <c r="N63" s="395" t="n">
        <v>9574</v>
      </c>
      <c r="O63" s="395" t="n">
        <v>10347</v>
      </c>
      <c r="P63" s="395" t="n">
        <v>11353</v>
      </c>
      <c r="Q63" s="395" t="n">
        <v>11955</v>
      </c>
      <c r="R63" s="395" t="n">
        <v>12260</v>
      </c>
      <c r="S63" s="395" t="n">
        <v>13624</v>
      </c>
      <c r="T63" s="395" t="n">
        <v>15157</v>
      </c>
      <c r="U63" s="395" t="n">
        <v>17664</v>
      </c>
      <c r="V63" s="395" t="n">
        <v>20028</v>
      </c>
      <c r="W63" s="395" t="n">
        <v>24768</v>
      </c>
      <c r="X63" s="395" t="n"/>
      <c r="Y63" s="395" t="n"/>
    </row>
    <row r="64">
      <c r="A64" s="263" t="inlineStr">
        <is>
          <t>Other Bets</t>
        </is>
      </c>
      <c r="B64" s="426" t="n">
        <v>445</v>
      </c>
      <c r="C64" s="426" t="n">
        <v>809</v>
      </c>
      <c r="D64" s="426" t="n">
        <v>1203</v>
      </c>
      <c r="E64" s="426" t="n">
        <v>595</v>
      </c>
      <c r="F64" s="426" t="n">
        <v>659</v>
      </c>
      <c r="G64" s="426" t="n">
        <v>657</v>
      </c>
      <c r="H64" s="426" t="n">
        <v>753</v>
      </c>
      <c r="I64" s="426" t="n">
        <v>1068</v>
      </c>
      <c r="J64" s="426" t="n">
        <v>1527</v>
      </c>
      <c r="K64" s="426" t="n">
        <v>1648</v>
      </c>
      <c r="L64" s="426" t="n">
        <v>1537</v>
      </c>
      <c r="M64" s="261" t="n"/>
      <c r="N64" s="395" t="n">
        <v>495</v>
      </c>
      <c r="O64" s="395" t="n">
        <v>365</v>
      </c>
      <c r="P64" s="395" t="n">
        <v>388</v>
      </c>
      <c r="Q64" s="395" t="n">
        <v>400</v>
      </c>
      <c r="R64" s="395" t="n">
        <v>450</v>
      </c>
      <c r="S64" s="395" t="n">
        <v>373</v>
      </c>
      <c r="T64" s="395" t="n">
        <v>344</v>
      </c>
      <c r="U64" s="395" t="n">
        <v>370</v>
      </c>
      <c r="V64" s="395" t="n">
        <v>411</v>
      </c>
      <c r="W64" s="395" t="n">
        <v>382</v>
      </c>
      <c r="X64" s="395" t="n"/>
      <c r="Y64" s="395" t="n"/>
    </row>
    <row r="65">
      <c r="A65" s="259" t="inlineStr">
        <is>
          <t>Corporate costs, unallocated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Alphabet-level activities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Google Services</t>
        </is>
      </c>
      <c r="B71" s="425" t="n"/>
      <c r="C71" s="425" t="n"/>
      <c r="D71" s="425" t="n"/>
      <c r="E71" s="425" t="n">
        <v>43137</v>
      </c>
      <c r="F71" s="425" t="n">
        <v>48999</v>
      </c>
      <c r="G71" s="425" t="n">
        <v>54606</v>
      </c>
      <c r="H71" s="425" t="n">
        <v>91855</v>
      </c>
      <c r="I71" s="425" t="n">
        <v>86572</v>
      </c>
      <c r="J71" s="425" t="n">
        <v>95858</v>
      </c>
      <c r="K71" s="425" t="n">
        <v>121263</v>
      </c>
      <c r="L71" s="425" t="n">
        <v>139404</v>
      </c>
      <c r="M71" s="261" t="n"/>
      <c r="N71" s="395" t="n">
        <v>27897</v>
      </c>
      <c r="O71" s="395" t="n">
        <v>29674</v>
      </c>
      <c r="P71" s="395" t="n">
        <v>30856</v>
      </c>
      <c r="Q71" s="395" t="n">
        <v>32836</v>
      </c>
      <c r="R71" s="395" t="n">
        <v>32682</v>
      </c>
      <c r="S71" s="395" t="n">
        <v>33063</v>
      </c>
      <c r="T71" s="395" t="n">
        <v>33527</v>
      </c>
      <c r="U71" s="395" t="n">
        <v>40132</v>
      </c>
      <c r="V71" s="395" t="n">
        <v>40589</v>
      </c>
      <c r="W71" s="395" t="n">
        <v>39544</v>
      </c>
      <c r="X71" s="395" t="n"/>
      <c r="Y71" s="395" t="n"/>
    </row>
    <row r="72">
      <c r="A72" s="263" t="inlineStr">
        <is>
          <t>Google</t>
        </is>
      </c>
      <c r="B72" s="426" t="n">
        <v>23319</v>
      </c>
      <c r="C72" s="426" t="n">
        <v>27892</v>
      </c>
      <c r="D72" s="426" t="n">
        <v>32908</v>
      </c>
      <c r="E72" s="426" t="n">
        <v>36517</v>
      </c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Google Cloud</t>
        </is>
      </c>
      <c r="B73" s="425" t="n"/>
      <c r="C73" s="425" t="n"/>
      <c r="D73" s="425" t="n"/>
      <c r="E73" s="425" t="n">
        <v>-4348</v>
      </c>
      <c r="F73" s="425" t="n">
        <v>-4645</v>
      </c>
      <c r="G73" s="425" t="n">
        <v>-5607</v>
      </c>
      <c r="H73" s="425" t="n">
        <v>-3099</v>
      </c>
      <c r="I73" s="425" t="n">
        <v>-2968</v>
      </c>
      <c r="J73" s="425" t="n">
        <v>1716</v>
      </c>
      <c r="K73" s="425" t="n">
        <v>6112</v>
      </c>
      <c r="L73" s="425" t="n">
        <v>13910</v>
      </c>
      <c r="M73" s="261" t="n"/>
      <c r="N73" s="395" t="n">
        <v>900</v>
      </c>
      <c r="O73" s="395" t="n">
        <v>1172</v>
      </c>
      <c r="P73" s="395" t="n">
        <v>1947</v>
      </c>
      <c r="Q73" s="395" t="n">
        <v>2093</v>
      </c>
      <c r="R73" s="395" t="n">
        <v>2177</v>
      </c>
      <c r="S73" s="395" t="n">
        <v>2826</v>
      </c>
      <c r="T73" s="395" t="n">
        <v>3594</v>
      </c>
      <c r="U73" s="395" t="n">
        <v>5313</v>
      </c>
      <c r="V73" s="395" t="n">
        <v>6598</v>
      </c>
      <c r="W73" s="395" t="n">
        <v>8814</v>
      </c>
      <c r="X73" s="395" t="n"/>
      <c r="Y73" s="395" t="n"/>
    </row>
    <row r="74">
      <c r="A74" s="263" t="inlineStr">
        <is>
          <t>Other Bets</t>
        </is>
      </c>
      <c r="B74" s="426" t="n">
        <v>-3456</v>
      </c>
      <c r="C74" s="426" t="n">
        <v>-3578</v>
      </c>
      <c r="D74" s="426" t="n">
        <v>-3355</v>
      </c>
      <c r="E74" s="426" t="n">
        <v>-3358</v>
      </c>
      <c r="F74" s="426" t="n">
        <v>-4824</v>
      </c>
      <c r="G74" s="426" t="n">
        <v>-4476</v>
      </c>
      <c r="H74" s="426" t="n">
        <v>-5281</v>
      </c>
      <c r="I74" s="426" t="n">
        <v>-6083</v>
      </c>
      <c r="J74" s="426" t="n">
        <v>-4095</v>
      </c>
      <c r="K74" s="426" t="n">
        <v>-4444</v>
      </c>
      <c r="L74" s="426" t="n">
        <v>-7515</v>
      </c>
      <c r="M74" s="261" t="n"/>
      <c r="N74" s="395" t="n">
        <v>-1020</v>
      </c>
      <c r="O74" s="395" t="n">
        <v>-1134</v>
      </c>
      <c r="P74" s="395" t="n">
        <v>-1116</v>
      </c>
      <c r="Q74" s="395" t="n">
        <v>-1174</v>
      </c>
      <c r="R74" s="395" t="n">
        <v>-1226</v>
      </c>
      <c r="S74" s="395" t="n">
        <v>-1246</v>
      </c>
      <c r="T74" s="395" t="n">
        <v>-1426</v>
      </c>
      <c r="U74" s="395" t="n">
        <v>-3617</v>
      </c>
      <c r="V74" s="395" t="n">
        <v>-2100</v>
      </c>
      <c r="W74" s="395" t="n">
        <v>-1799</v>
      </c>
      <c r="X74" s="395" t="n"/>
      <c r="Y74" s="395" t="n"/>
    </row>
    <row r="75">
      <c r="A75" s="259" t="inlineStr">
        <is>
          <t>Corporate costs, unallocated</t>
        </is>
      </c>
      <c r="B75" s="425" t="n"/>
      <c r="C75" s="425" t="n"/>
      <c r="D75" s="425" t="n"/>
      <c r="E75" s="425" t="n"/>
      <c r="F75" s="425" t="n"/>
      <c r="G75" s="425" t="n">
        <v>-3299</v>
      </c>
      <c r="H75" s="425" t="n">
        <v>-4761</v>
      </c>
      <c r="I75" s="425" t="n">
        <v>-2679</v>
      </c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Alphabet-level activities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>
        <v>-1299</v>
      </c>
      <c r="J76" s="426" t="n">
        <v>-9186</v>
      </c>
      <c r="K76" s="426" t="n">
        <v>-10541</v>
      </c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>
        <v>-5789</v>
      </c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0.0472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0.0442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1.215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0.0525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0.18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0.15</v>
      </c>
      <c r="C20" s="401" t="n">
        <v>0.13</v>
      </c>
      <c r="D20" s="401" t="n">
        <v>0.11</v>
      </c>
      <c r="E20" s="401" t="n">
        <v>0.09</v>
      </c>
      <c r="F20" s="401" t="n">
        <v>0.07000000000000001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0.375</v>
      </c>
      <c r="C21" s="402" t="n">
        <v>0.38</v>
      </c>
      <c r="D21" s="402" t="n">
        <v>0.385</v>
      </c>
      <c r="E21" s="402" t="n">
        <v>0.39</v>
      </c>
      <c r="F21" s="402" t="n">
        <v>0.39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0.058</v>
      </c>
      <c r="C22" s="401" t="n">
        <v>0.065</v>
      </c>
      <c r="D22" s="401" t="n">
        <v>0.07000000000000001</v>
      </c>
      <c r="E22" s="401" t="n">
        <v>0.075</v>
      </c>
      <c r="F22" s="401" t="n">
        <v>0.078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0.24</v>
      </c>
      <c r="C23" s="402" t="n">
        <v>0.2</v>
      </c>
      <c r="D23" s="402" t="n">
        <v>0.16</v>
      </c>
      <c r="E23" s="402" t="n">
        <v>0.13</v>
      </c>
      <c r="F23" s="402" t="n">
        <v>0.105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0.05</v>
      </c>
      <c r="C24" s="401" t="n">
        <v>0.05</v>
      </c>
      <c r="D24" s="401" t="n">
        <v>0.05</v>
      </c>
      <c r="E24" s="401" t="n">
        <v>0.05</v>
      </c>
      <c r="F24" s="401" t="n">
        <v>0.05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0.18</v>
      </c>
      <c r="C25" s="402" t="n">
        <v>0.18</v>
      </c>
      <c r="D25" s="402" t="n">
        <v>0.18</v>
      </c>
      <c r="E25" s="402" t="n">
        <v>0.18</v>
      </c>
      <c r="F25" s="402" t="n">
        <v>0.18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15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(exit multiple)</t>
        </is>
      </c>
      <c r="B46" s="406">
        <f>IFERROR(B44,"-")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inlineStr">
        <is>
          <t xml:space="preserve">market-researcher | valuation-agent | as-of: </t>
        </is>
      </c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inlineStr">
        <is>
          <t xml:space="preserve">market-researcher | valuation-agent | as-of: </t>
        </is>
      </c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inlineStr">
        <is>
          <t xml:space="preserve">market-researcher | valuation-agent | as-of: </t>
        </is>
      </c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inlineStr">
        <is>
          <t xml:space="preserve">market-researcher | valuation-agent | as-of: </t>
        </is>
      </c>
    </row>
    <row r="56" ht="15" customHeight="1" s="74">
      <c r="A56" s="321" t="inlineStr">
        <is>
          <t>(-) Net Debt (latest)</t>
        </is>
      </c>
      <c r="B56" s="407" t="n">
        <v>-78257</v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inlineStr">
        <is>
          <t xml:space="preserve">market-researcher | valuation-agent | as-of: </t>
        </is>
      </c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inlineStr">
        <is>
          <t xml:space="preserve">market-researcher | valuation-agent | as-of: </t>
        </is>
      </c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inlineStr">
        <is>
          <t xml:space="preserve">market-researcher | valuation-agent | as-of: </t>
        </is>
      </c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(exit multiple)</t>
        </is>
      </c>
      <c r="B84" s="407">
        <f>IFERROR(B83,"-")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inlineStr">
        <is>
          <t xml:space="preserve">market-researcher | valuation-agent | as-of: </t>
        </is>
      </c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(exit multiple)</t>
        </is>
      </c>
      <c r="B110" s="407">
        <f>IFERROR(B109,"-")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inlineStr">
        <is>
          <t xml:space="preserve">market-researcher | valuation-agent | as-of: </t>
        </is>
      </c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33</v>
      </c>
      <c r="C118" s="416" t="n">
        <v>24</v>
      </c>
      <c r="D118" s="335" t="n">
        <v>21.5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29.2</v>
      </c>
      <c r="C119" s="404" t="n">
        <v>18</v>
      </c>
      <c r="D119" s="334" t="n">
        <v>18.4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33.9</v>
      </c>
      <c r="C120" s="416" t="n">
        <v>21</v>
      </c>
      <c r="D120" s="335" t="n">
        <v>21.4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59.5</v>
      </c>
      <c r="C121" s="404" t="n">
        <v>45</v>
      </c>
      <c r="D121" s="334" t="n">
        <v>38.8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0.0168</v>
      </c>
      <c r="C122" s="401" t="n">
        <v>0.02</v>
      </c>
      <c r="D122" s="335" t="n">
        <v>0.0258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inlineStr">
        <is>
          <t xml:space="preserve">market-researcher | valuation-agent | as-of: </t>
        </is>
      </c>
    </row>
    <row r="144" ht="15" customHeight="1" s="74">
      <c r="A144" s="321" t="inlineStr">
        <is>
          <t>Current Share Price</t>
        </is>
      </c>
      <c r="B144" s="359" t="n">
        <v>341.28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inlineStr">
        <is>
          <t xml:space="preserve">market-researcher | valuation-agent | as-of: </t>
        </is>
      </c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\\ TGR (perpetuity cross-check) | 2.0% | 2.5% | 3.0% | 3.5% | 4.0% |
|---|---|---|---|---|---|
| 9.28% | 146.7 | 155.5 | 165.8 | 177.9 | 192.3 |
| 9.78% | 136.6 | 144.2 | 152.9 | 163.0 | 174.9 |
| **10.28%** | **127.8** | **134.4** | **141.8** | **150.4** | **160.3** |
| 10.78% | 120.0 | 125.7 | 132.2 | 139.5 | 147.9 |
| 11.28% | 113.1 | 118.1 | 123.7 | 130.0 | 137.2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\\ Exit EV/EBITDA | 11.0x | 13.0x | 15.0x | 17.0x | 19.0x |
|---|---|---|---|---|---|
| 9.28% | 186.8 | 214.6 | 242.3 | 270.0 | 297.8 |
| 9.78% | 182.9 | 210.0 | 237.2 | 264.3 | 291.4 |
| **10.28%** | **179.2** | **205.7** | **232.2** | **258.7** | **285.1** |
| 10.78% | 175.5 | 201.4 | 227.3 | 253.2 | 279.1 |
| 11.28% | 171.9 | 197.2 | 222.5 | 247.9 | 273.2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OR(NOT(ISNUMBER(Data!B22)),NOT(AND(AND((Data!B41+Data!B35-Data!B32)&gt;0,OR(NOT(ISNUMBER(Data!B14)),ABS((Data!B41+Data!B35-Data!B32))&gt;=0.05*ABS(Data!B14))),AND((Data!B41+Data!B35-Data!B32)&gt;0,OR(NOT(ISNUMBER(Data!B14)),ABS((Data!B41+Data!B35-Data!B32))&gt;=0.05*ABS(Data!B14)))))),"-",(Data!B22*(1-IF(AND(ISNUMBER(Data!B24),Data!B24&lt;&gt;0,ISNUMBER(Data!B25)),Data!B25/Data!B24,0.21)))/((Data!B41+Data!B35-Data!B32))),"-")</f>
        <v/>
      </c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IFERROR(IF(OR(NOT(ISNUMBER(Data!B22)),NOT(ISNUMBER(Data!B23)),Data!B22&lt;=0),"-",Data!B22/ABS(Data!B23)),"-")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5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5">
        <f>IFERROR(IF(OR(NOT(ISNUMBER(Data!X35)),NOT(ISNUMBER(Data!X41))),"-",Data!X35/Data!X41),"-")</f>
        <v/>
      </c>
      <c r="Y16" s="45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5">
        <f>IFERROR(IF(OR(NOT(ISNUMBER(Data!X37)),NOT(ISNUMBER(Data!X38))),"-",Data!X37/Data!X38),"-")</f>
        <v/>
      </c>
      <c r="Y17" s="45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5">
        <f>IFERROR(IF(OR(NOT(ISNUMBER(Data!X35)),NOT(ISNUMBER(Data!U20)),NOT(ISNUMBER(Data!V20)),NOT(ISNUMBER(Data!W20)),NOT(ISNUMBER(Data!X20))),"-",Data!X35/(Data!U20+Data!V20+Data!W20+Data!X20)),"-")</f>
        <v/>
      </c>
      <c r="Y18" s="45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8" t="n"/>
      <c r="Y20" s="45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59" t="n"/>
      <c r="Y22" s="45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59" t="n"/>
      <c r="Y23" s="45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IFERROR(IF(OR(NOT(ISNUMBER(Data!C27)),NOT(ISNUMBER(Data!B27))),"-",((Data!C27/20)-(Data!B27/20))/ABS((Data!B27/20))),"-")</f>
        <v/>
      </c>
      <c r="D24" s="89">
        <f>IFERROR(IF(OR(NOT(ISNUMBER(Data!D27)),NOT(ISNUMBER(Data!C27))),"-",((Data!D27/20)-(Data!C27/20))/ABS((Data!C27/20))),"-")</f>
        <v/>
      </c>
      <c r="E24" s="89">
        <f>IFERROR(IF(OR(NOT(ISNUMBER(Data!E27)),NOT(ISNUMBER(Data!D27))),"-",((Data!E27/20)-(Data!D27/20))/ABS((Data!D27/20))),"-")</f>
        <v/>
      </c>
      <c r="F24" s="89">
        <f>IFERROR(IF(OR(NOT(ISNUMBER(Data!F27)),NOT(ISNUMBER(Data!E27))),"-",((Data!F27/20)-(Data!E27/20))/ABS((Data!E27/20))),"-")</f>
        <v/>
      </c>
      <c r="G24" s="89">
        <f>IFERROR(IF(OR(NOT(ISNUMBER(Data!G27)),NOT(ISNUMBER(Data!F27))),"-",((Data!G27/20)-(Data!F27/20))/ABS((Data!F27/20))),"-")</f>
        <v/>
      </c>
      <c r="H24" s="89">
        <f>IFERROR(IF(OR(NOT(ISNUMBER(Data!H27)),NOT(ISNUMBER(Data!G27))),"-",((Data!H27/20)-(Data!G27/20))/ABS((Data!G27/20))),"-")</f>
        <v/>
      </c>
      <c r="I24" s="89">
        <f>IFERROR(IF(OR(NOT(ISNUMBER(Data!I27)),NOT(ISNUMBER(Data!H27))),"-",(Data!I27-(Data!H27/20))/ABS((Data!H27/20))),"-")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59" t="n"/>
      <c r="Y24" s="45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59" t="n"/>
      <c r="Y25" s="45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59" t="n"/>
      <c r="Y26" s="459" t="n"/>
    </row>
    <row r="27">
      <c r="A27" s="2" t="inlineStr">
        <is>
          <t>Diluted Shares (split-adj, M)</t>
        </is>
      </c>
      <c r="B27" s="2">
        <f>IFERROR(IF(OR(NOT(ISNUMBER(Data!B28))),"-",(Data!B28*20)),"-")</f>
        <v/>
      </c>
      <c r="C27" s="2">
        <f>IFERROR(IF(OR(NOT(ISNUMBER(Data!C28))),"-",(Data!C28*20)),"-")</f>
        <v/>
      </c>
      <c r="D27" s="2">
        <f>IFERROR(IF(OR(NOT(ISNUMBER(Data!D28))),"-",(Data!D28*20)),"-")</f>
        <v/>
      </c>
      <c r="E27" s="2">
        <f>IFERROR(IF(OR(NOT(ISNUMBER(Data!E28))),"-",(Data!E28*20)),"-")</f>
        <v/>
      </c>
      <c r="F27" s="2">
        <f>IFERROR(IF(OR(NOT(ISNUMBER(Data!F28))),"-",(Data!F28*20)),"-")</f>
        <v/>
      </c>
      <c r="G27" s="2">
        <f>IFERROR(IF(OR(NOT(ISNUMBER(Data!G28))),"-",(Data!G28*20)),"-")</f>
        <v/>
      </c>
      <c r="H27" s="2">
        <f>IFERROR(IF(OR(NOT(ISNUMBER(Data!H28))),"-",(Data!H28*20)),"-")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59" t="n"/>
      <c r="Y27" s="45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IFERROR(IF(OR(NOT(ISNUMBER(Data!B41)),NOT(ISNUMBER(Data!B28))),"-",Data!B41/(Data!B28*20)),"-")</f>
        <v/>
      </c>
      <c r="C30" s="21">
        <f>IFERROR(IF(OR(NOT(ISNUMBER(Data!C41)),NOT(ISNUMBER(Data!C28))),"-",Data!C41/(Data!C28*20)),"-")</f>
        <v/>
      </c>
      <c r="D30" s="21">
        <f>IFERROR(IF(OR(NOT(ISNUMBER(Data!D41)),NOT(ISNUMBER(Data!D28))),"-",Data!D41/(Data!D28*20)),"-")</f>
        <v/>
      </c>
      <c r="E30" s="21">
        <f>IFERROR(IF(OR(NOT(ISNUMBER(Data!E41)),NOT(ISNUMBER(Data!E28))),"-",Data!E41/(Data!E28*20)),"-")</f>
        <v/>
      </c>
      <c r="F30" s="21">
        <f>IFERROR(IF(OR(NOT(ISNUMBER(Data!F41)),NOT(ISNUMBER(Data!F28))),"-",Data!F41/(Data!F28*20)),"-")</f>
        <v/>
      </c>
      <c r="G30" s="21">
        <f>IFERROR(IF(OR(NOT(ISNUMBER(Data!G41)),NOT(ISNUMBER(Data!G28))),"-",Data!G41/(Data!G28*20)),"-")</f>
        <v/>
      </c>
      <c r="H30" s="21">
        <f>IFERROR(IF(OR(NOT(ISNUMBER(Data!H41)),NOT(ISNUMBER(Data!H28))),"-",Data!H41/(Data!H28*20)),"-")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5">
        <f>IFERROR(IF(OR(NOT(ISNUMBER(Data!X41)),NOT(ISNUMBER(Data!X28))),"-",Data!X41/Data!X28),"-")</f>
        <v/>
      </c>
      <c r="Y30" s="45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IFERROR(IF(OR(NOT(ISNUMBER(Data!B53)),NOT(ISNUMBER(Data!B28))),"-",Data!B53/(Data!B28*20)),"-")</f>
        <v/>
      </c>
      <c r="C31" s="22">
        <f>IFERROR(IF(OR(NOT(ISNUMBER(Data!C53)),NOT(ISNUMBER(Data!C28))),"-",Data!C53/(Data!C28*20)),"-")</f>
        <v/>
      </c>
      <c r="D31" s="22">
        <f>IFERROR(IF(OR(NOT(ISNUMBER(Data!D53)),NOT(ISNUMBER(Data!D28))),"-",Data!D53/(Data!D28*20)),"-")</f>
        <v/>
      </c>
      <c r="E31" s="22">
        <f>IFERROR(IF(OR(NOT(ISNUMBER(Data!E53)),NOT(ISNUMBER(Data!E28))),"-",Data!E53/(Data!E28*20)),"-")</f>
        <v/>
      </c>
      <c r="F31" s="22">
        <f>IFERROR(IF(OR(NOT(ISNUMBER(Data!F53)),NOT(ISNUMBER(Data!F28))),"-",Data!F53/(Data!F28*20)),"-")</f>
        <v/>
      </c>
      <c r="G31" s="22">
        <f>IFERROR(IF(OR(NOT(ISNUMBER(Data!G53)),NOT(ISNUMBER(Data!G28))),"-",Data!G53/(Data!G28*20)),"-")</f>
        <v/>
      </c>
      <c r="H31" s="22">
        <f>IFERROR(IF(OR(NOT(ISNUMBER(Data!H53)),NOT(ISNUMBER(Data!H28))),"-",Data!H53/(Data!H28*20)),"-")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5">
        <f>IFERROR(IF(OR(NOT(ISNUMBER(Data!U53)),NOT(ISNUMBER(Data!V53)),NOT(ISNUMBER(Data!W53)),NOT(ISNUMBER(Data!X53)),NOT(ISNUMBER(Data!X28))),"-",(Data!U53+Data!V53+Data!W53+Data!X53)/Data!X28),"-")</f>
        <v/>
      </c>
      <c r="Y31" s="45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IFERROR(IF(OR(NOT(ISNUMBER(Data!B14)),NOT(ISNUMBER(Data!B28))),"-",Data!B14/(Data!B28*20)),"-")</f>
        <v/>
      </c>
      <c r="C32" s="21">
        <f>IFERROR(IF(OR(NOT(ISNUMBER(Data!C14)),NOT(ISNUMBER(Data!C28))),"-",Data!C14/(Data!C28*20)),"-")</f>
        <v/>
      </c>
      <c r="D32" s="21">
        <f>IFERROR(IF(OR(NOT(ISNUMBER(Data!D14)),NOT(ISNUMBER(Data!D28))),"-",Data!D14/(Data!D28*20)),"-")</f>
        <v/>
      </c>
      <c r="E32" s="21">
        <f>IFERROR(IF(OR(NOT(ISNUMBER(Data!E14)),NOT(ISNUMBER(Data!E28))),"-",Data!E14/(Data!E28*20)),"-")</f>
        <v/>
      </c>
      <c r="F32" s="21">
        <f>IFERROR(IF(OR(NOT(ISNUMBER(Data!F14)),NOT(ISNUMBER(Data!F28))),"-",Data!F14/(Data!F28*20)),"-")</f>
        <v/>
      </c>
      <c r="G32" s="21">
        <f>IFERROR(IF(OR(NOT(ISNUMBER(Data!G14)),NOT(ISNUMBER(Data!G28))),"-",Data!G14/(Data!G28*20)),"-")</f>
        <v/>
      </c>
      <c r="H32" s="21">
        <f>IFERROR(IF(OR(NOT(ISNUMBER(Data!H14)),NOT(ISNUMBER(Data!H28))),"-",Data!H14/(Data!H28*20)),"-")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5">
        <f>IFERROR(IF(OR(NOT(ISNUMBER(Data!U14)),NOT(ISNUMBER(Data!V14)),NOT(ISNUMBER(Data!W14)),NOT(ISNUMBER(Data!X14)),NOT(ISNUMBER(Data!X28))),"-",(Data!U14+Data!V14+Data!W14+Data!X14)/Data!X28),"-")</f>
        <v/>
      </c>
      <c r="Y32" s="45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IFERROR(IF(OR(NOT(ISNUMBER(Data!B27))),"-",(Data!B27/20)),"-")</f>
        <v/>
      </c>
      <c r="C33" s="2">
        <f>IFERROR(IF(OR(NOT(ISNUMBER(Data!C27))),"-",(Data!C27/20)),"-")</f>
        <v/>
      </c>
      <c r="D33" s="2">
        <f>IFERROR(IF(OR(NOT(ISNUMBER(Data!D27))),"-",(Data!D27/20)),"-")</f>
        <v/>
      </c>
      <c r="E33" s="2">
        <f>IFERROR(IF(OR(NOT(ISNUMBER(Data!E27))),"-",(Data!E27/20)),"-")</f>
        <v/>
      </c>
      <c r="F33" s="2">
        <f>IFERROR(IF(OR(NOT(ISNUMBER(Data!F27))),"-",(Data!F27/20)),"-")</f>
        <v/>
      </c>
      <c r="G33" s="2">
        <f>IFERROR(IF(OR(NOT(ISNUMBER(Data!G27))),"-",(Data!G27/20)),"-")</f>
        <v/>
      </c>
      <c r="H33" s="2">
        <f>IFERROR(IF(OR(NOT(ISNUMBER(Data!H27))),"-",(Data!H27/20)),"-")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7" t="n"/>
      <c r="Y33" s="45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59" t="n"/>
      <c r="Y36" s="45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59" t="n"/>
      <c r="Y37" s="45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59" t="n"/>
      <c r="Y38" s="45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59" t="n"/>
      <c r="Y39" s="45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59" t="n"/>
      <c r="Y40" s="45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59" t="n"/>
      <c r="Y41" s="45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59" t="n"/>
      <c r="Y42" s="45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59" t="n"/>
      <c r="Y43" s="45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59" t="n"/>
      <c r="Y44" s="45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5">
        <f>IFERROR(IF(OR(NOT(ISNUMBER(Data!X37)),NOT(ISNUMBER(Data!X38))),"-",Data!X37-Data!X38),"-")</f>
        <v/>
      </c>
      <c r="Y48" s="45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5">
        <f>IFERROR(IF(OR(NOT(ISNUMBER(Data!X37)),NOT(ISNUMBER(Data!X47)),NOT(ISNUMBER(Data!X38))),"-",(Data!X37-Data!X47)/Data!X38),"-")</f>
        <v/>
      </c>
      <c r="Y49" s="45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5" t="n"/>
      <c r="Y50" s="45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5">
        <f>IFERROR(IF(OR(NOT(ISNUMBER(Data!X32)),NOT(ISNUMBER(Data!X38))),"-",Data!X32/Data!X38),"-")</f>
        <v/>
      </c>
      <c r="Y51" s="45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5" t="n"/>
      <c r="Y52" s="45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5" t="n"/>
      <c r="Y53" s="45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5" t="n"/>
      <c r="Y54" s="45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59" t="n"/>
      <c r="Y58" s="459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59" t="n"/>
      <c r="Y59" s="459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59" t="n"/>
      <c r="Y60" s="459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59" t="n"/>
      <c r="Y61" s="459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59" t="n"/>
      <c r="Y62" s="459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59" t="n"/>
      <c r="Y63" s="459" t="n"/>
    </row>
    <row r="64" ht="15" customHeight="1" s="74">
      <c r="A64" s="15" t="inlineStr">
        <is>
          <t>Cash Conversion Cycle (days)</t>
        </is>
      </c>
      <c r="B64" s="83">
        <f>IFERROR(IF(OR(NOT(ISNUMBER(Metrics!B61)),NOT(ISNUMBER(Metrics!B63)),AND(NOT(ISNUMBER(Metrics!B59)),NOT(AND(ISNUMBER(Data!B15),Data!B15&lt;&gt;0)))),"-",IF(ISNUMBER(Metrics!B59),Metrics!B59,0)+Metrics!B61-Metrics!B63),"-")</f>
        <v/>
      </c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59" t="n"/>
      <c r="Y64" s="45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5" t="n"/>
      <c r="Y68" s="45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5" t="n"/>
      <c r="Y69" s="455" t="n"/>
    </row>
    <row r="70" ht="15" customHeight="1" s="74">
      <c r="A70" s="15" t="inlineStr">
        <is>
          <t>Hard Assets / Share (PP&amp;E + Cash)</t>
        </is>
      </c>
      <c r="B70" s="28">
        <f>IFERROR(IF(OR(NOT(ISNUMBER(Data!B44)),NOT(ISNUMBER(Data!B32)),NOT(ISNUMBER(Data!B28))),"-",(Data!B44+Data!B32)/(Data!B28*20)),"-")</f>
        <v/>
      </c>
      <c r="C70" s="28">
        <f>IFERROR(IF(OR(NOT(ISNUMBER(Data!C44)),NOT(ISNUMBER(Data!C32)),NOT(ISNUMBER(Data!C28))),"-",(Data!C44+Data!C32)/(Data!C28*20)),"-")</f>
        <v/>
      </c>
      <c r="D70" s="28">
        <f>IFERROR(IF(OR(NOT(ISNUMBER(Data!D44)),NOT(ISNUMBER(Data!D32)),NOT(ISNUMBER(Data!D28))),"-",(Data!D44+Data!D32)/(Data!D28*20)),"-")</f>
        <v/>
      </c>
      <c r="E70" s="28">
        <f>IFERROR(IF(OR(NOT(ISNUMBER(Data!E44)),NOT(ISNUMBER(Data!E32)),NOT(ISNUMBER(Data!E28))),"-",(Data!E44+Data!E32)/(Data!E28*20)),"-")</f>
        <v/>
      </c>
      <c r="F70" s="28">
        <f>IFERROR(IF(OR(NOT(ISNUMBER(Data!F44)),NOT(ISNUMBER(Data!F32)),NOT(ISNUMBER(Data!F28))),"-",(Data!F44+Data!F32)/(Data!F28*20)),"-")</f>
        <v/>
      </c>
      <c r="G70" s="28">
        <f>IFERROR(IF(OR(NOT(ISNUMBER(Data!G44)),NOT(ISNUMBER(Data!G32)),NOT(ISNUMBER(Data!G28))),"-",(Data!G44+Data!G32)/(Data!G28*20)),"-")</f>
        <v/>
      </c>
      <c r="H70" s="28">
        <f>IFERROR(IF(OR(NOT(ISNUMBER(Data!H44)),NOT(ISNUMBER(Data!H32)),NOT(ISNUMBER(Data!H28))),"-",(Data!H44+Data!H32)/(Data!H28*20)),"-")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5" t="n"/>
      <c r="Y70" s="455" t="n"/>
    </row>
    <row r="71" ht="15" customHeight="1" s="74">
      <c r="A71" s="17" t="inlineStr">
        <is>
          <t>Tangible Book Value / Share</t>
        </is>
      </c>
      <c r="B71" s="29">
        <f>IFERROR(IF(OR(NOT(ISNUMBER(Data!B41)),NOT(ISNUMBER(Data!B43)),NOT(ISNUMBER(Data!B28))),"-",(Data!B41-Data!B43)/(Data!B28*20)),"-")</f>
        <v/>
      </c>
      <c r="C71" s="29">
        <f>IFERROR(IF(OR(NOT(ISNUMBER(Data!C41)),NOT(ISNUMBER(Data!C43)),NOT(ISNUMBER(Data!C28))),"-",(Data!C41-Data!C43)/(Data!C28*20)),"-")</f>
        <v/>
      </c>
      <c r="D71" s="29">
        <f>IFERROR(IF(OR(NOT(ISNUMBER(Data!D41)),NOT(ISNUMBER(Data!D43)),NOT(ISNUMBER(Data!D28))),"-",(Data!D41-Data!D43)/(Data!D28*20)),"-")</f>
        <v/>
      </c>
      <c r="E71" s="29">
        <f>IFERROR(IF(OR(NOT(ISNUMBER(Data!E41)),NOT(ISNUMBER(Data!E43)),NOT(ISNUMBER(Data!E28))),"-",(Data!E41-Data!E43)/(Data!E28*20)),"-")</f>
        <v/>
      </c>
      <c r="F71" s="29">
        <f>IFERROR(IF(OR(NOT(ISNUMBER(Data!F41)),NOT(ISNUMBER(Data!F43)),NOT(ISNUMBER(Data!F28))),"-",(Data!F41-Data!F43)/(Data!F28*20)),"-")</f>
        <v/>
      </c>
      <c r="G71" s="29">
        <f>IFERROR(IF(OR(NOT(ISNUMBER(Data!G41)),NOT(ISNUMBER(Data!G43)),NOT(ISNUMBER(Data!G28))),"-",(Data!G41-Data!G43)/(Data!G28*20)),"-")</f>
        <v/>
      </c>
      <c r="H71" s="29">
        <f>IFERROR(IF(OR(NOT(ISNUMBER(Data!H41)),NOT(ISNUMBER(Data!H43)),NOT(ISNUMBER(Data!H28))),"-",(Data!H41-Data!H43)/(Data!H28*20)),"-")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5" t="n"/>
      <c r="Y71" s="455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5">
        <f>IFERROR(IF(OR(NOT(ISNUMBER(Data!U14)),NOT(ISNUMBER(Data!V14)),NOT(ISNUMBER(Data!W14)),NOT(ISNUMBER(Data!X14)),NOT(ISNUMBER(Data!X39))),"-",(Data!U14+Data!V14+Data!W14+Data!X14)/Data!X39),"-")</f>
        <v/>
      </c>
      <c r="Y72" s="45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5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5" t="n"/>
      <c r="Y74" s="45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5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5" t="n"/>
      <c r="Y77" s="455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5" t="n"/>
      <c r="Y78" s="45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5" t="n"/>
      <c r="Y79" s="455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5">
        <f>IFERROR(IF(OR(NOT(ISNUMBER(Data!X36)),NOT(ISNUMBER(Data!U20)),NOT(ISNUMBER(Data!V20)),NOT(ISNUMBER(Data!W20)),NOT(ISNUMBER(Data!X20))),"-",Data!X36/(Data!U20+Data!V20+Data!W20+Data!X20)),"-")</f>
        <v/>
      </c>
      <c r="Y80" s="45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5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IFERROR(IF(OR(NOT(ISNUMBER(Data!B55)),NOT(ISNUMBER(Data!B28)),Data!B55=0),"-",ABS(Data!B55)/(Data!B28*20)),"-")</f>
        <v/>
      </c>
      <c r="C86" s="22">
        <f>IFERROR(IF(OR(NOT(ISNUMBER(Data!C55)),NOT(ISNUMBER(Data!C28)),Data!C55=0),"-",ABS(Data!C55)/(Data!C28*20)),"-")</f>
        <v/>
      </c>
      <c r="D86" s="22">
        <f>IFERROR(IF(OR(NOT(ISNUMBER(Data!D55)),NOT(ISNUMBER(Data!D28)),Data!D55=0),"-",ABS(Data!D55)/(Data!D28*20)),"-")</f>
        <v/>
      </c>
      <c r="E86" s="22">
        <f>IFERROR(IF(OR(NOT(ISNUMBER(Data!E55)),NOT(ISNUMBER(Data!E28)),Data!E55=0),"-",ABS(Data!E55)/(Data!E28*20)),"-")</f>
        <v/>
      </c>
      <c r="F86" s="22">
        <f>IFERROR(IF(OR(NOT(ISNUMBER(Data!F55)),NOT(ISNUMBER(Data!F28)),Data!F55=0),"-",ABS(Data!F55)/(Data!F28*20)),"-")</f>
        <v/>
      </c>
      <c r="G86" s="22">
        <f>IFERROR(IF(OR(NOT(ISNUMBER(Data!G55)),NOT(ISNUMBER(Data!G28)),Data!G55=0),"-",ABS(Data!G55)/(Data!G28*20)),"-")</f>
        <v/>
      </c>
      <c r="H86" s="22">
        <f>IFERROR(IF(OR(NOT(ISNUMBER(Data!H55)),NOT(ISNUMBER(Data!H28)),Data!H55=0),"-",ABS(Data!H55)/(Data!H28*20)),"-")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59" t="n"/>
      <c r="Y86" s="459" t="n"/>
    </row>
    <row r="87" ht="15" customHeight="1" s="74">
      <c r="A87" s="17" t="inlineStr">
        <is>
          <t>Dividend Yield (on current price)</t>
        </is>
      </c>
      <c r="B87" s="8">
        <f>IFERROR(IF(OR(NOT(ISNUMBER(Data!B55)),Data!B55=0,OR(NOT(AND(ISNUMBER(Data!$B$8),Data!$B$8&lt;&gt;0)),AND(NOT(AND(ISNUMBER(Market!$B$11),Market!$B$11&lt;&gt;0)),NOT(AND(ISNUMBER(Data!B28),Data!B28&lt;&gt;0))))),"-",ABS(Data!B55)/(Data!$B$8*IF(AND(ISNUMBER(Market!$B$11),Market!$B$11&lt;&gt;0),Market!$B$11,Data!B28))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59" t="n"/>
      <c r="Y87" s="459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59" t="n"/>
      <c r="Y88" s="459" t="n"/>
    </row>
    <row r="89" ht="15" customHeight="1" s="74">
      <c r="A89" s="15" t="inlineStr">
        <is>
          <t>Buyback Yield</t>
        </is>
      </c>
      <c r="B89" s="89">
        <f>IFERROR(IF(OR(NOT(ISNUMBER(Data!B56)),Data!B56=0,NOT(ISNUMBER(Data!B57)),OR(NOT(AND(ISNUMBER(Data!$B$8),Data!$B$8&lt;&gt;0)),AND(NOT(AND(ISNUMBER(Market!$B$11),Market!$B$11&lt;&gt;0)),NOT(AND(ISNUMBER(Data!B28),Data!B28&lt;&gt;0))))),"-",ABS(Data!B56)/(Data!B57*(Data!B28*20))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(Data!C28*20)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(Data!D28*20)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(Data!E28*20)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(Data!F28*20)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(Data!G28*20)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(Data!H28*20)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59" t="n"/>
      <c r="Y89" s="459" t="n"/>
    </row>
    <row r="90" ht="15" customHeight="1" s="74">
      <c r="A90" s="17" t="inlineStr">
        <is>
          <t>Total Shareholder Return Yield</t>
        </is>
      </c>
      <c r="B90" s="90">
        <f>IFERROR(IF(OR(NOT(ISNUMBER(Data!B57)),OR(NOT(AND(ISNUMBER(Data!$B$8),Data!$B$8&lt;&gt;0)),AND(NOT(AND(ISNUMBER(Market!$B$11),Market!$B$11&lt;&gt;0)),NOT(AND(ISNUMBER(Data!B28),Data!B28&lt;&gt;0))))),"-",(ABS(Data!B55)+ABS(Data!B56))/(Data!B57*(Data!B28*20))),"-")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IFERROR(IF(OR(NOT(ISNUMBER(Data!C57)),OR(NOT(AND(ISNUMBER(Data!$B$8),Data!$B$8&lt;&gt;0)),AND(NOT(AND(ISNUMBER(Market!$B$11),Market!$B$11&lt;&gt;0)),NOT(AND(ISNUMBER(Data!C28),Data!C28&lt;&gt;0))))),"-",(ABS(Data!C55)+ABS(Data!C56))/(Data!C57*(Data!C28*20))),"-")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IFERROR(IF(OR(NOT(ISNUMBER(Data!D57)),OR(NOT(AND(ISNUMBER(Data!$B$8),Data!$B$8&lt;&gt;0)),AND(NOT(AND(ISNUMBER(Market!$B$11),Market!$B$11&lt;&gt;0)),NOT(AND(ISNUMBER(Data!D28),Data!D28&lt;&gt;0))))),"-",(ABS(Data!D55)+ABS(Data!D56))/(Data!D57*(Data!D28*20))),"-")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IFERROR(IF(OR(NOT(ISNUMBER(Data!E57)),OR(NOT(AND(ISNUMBER(Data!$B$8),Data!$B$8&lt;&gt;0)),AND(NOT(AND(ISNUMBER(Market!$B$11),Market!$B$11&lt;&gt;0)),NOT(AND(ISNUMBER(Data!E28),Data!E28&lt;&gt;0))))),"-",(ABS(Data!E55)+ABS(Data!E56))/(Data!E57*(Data!E28*20))),"-")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IFERROR(IF(OR(NOT(ISNUMBER(Data!F57)),OR(NOT(AND(ISNUMBER(Data!$B$8),Data!$B$8&lt;&gt;0)),AND(NOT(AND(ISNUMBER(Market!$B$11),Market!$B$11&lt;&gt;0)),NOT(AND(ISNUMBER(Data!F28),Data!F28&lt;&gt;0))))),"-",(ABS(Data!F55)+ABS(Data!F56))/(Data!F57*(Data!F28*20))),"-")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IFERROR(IF(OR(NOT(ISNUMBER(Data!G57)),OR(NOT(AND(ISNUMBER(Data!$B$8),Data!$B$8&lt;&gt;0)),AND(NOT(AND(ISNUMBER(Market!$B$11),Market!$B$11&lt;&gt;0)),NOT(AND(ISNUMBER(Data!G28),Data!G28&lt;&gt;0))))),"-",(ABS(Data!G55)+ABS(Data!G56))/(Data!G57*(Data!G28*20))),"-")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IFERROR(IF(OR(NOT(ISNUMBER(Data!H57)),OR(NOT(AND(ISNUMBER(Data!$B$8),Data!$B$8&lt;&gt;0)),AND(NOT(AND(ISNUMBER(Market!$B$11),Market!$B$11&lt;&gt;0)),NOT(AND(ISNUMBER(Data!H28),Data!H28&lt;&gt;0))))),"-",(ABS(Data!H55)+ABS(Data!H56))/(Data!H57*(Data!H28*20))),"-")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59" t="n"/>
      <c r="Y90" s="459" t="n"/>
    </row>
    <row r="91" ht="15" customHeight="1" s="74">
      <c r="A91" s="17" t="inlineStr">
        <is>
          <t>Price / Tangible Book</t>
        </is>
      </c>
      <c r="B91" s="91">
        <f>IFERROR(IF(OR(NOT(ISNUMBER(Data!$B$8)),NOT(ISNUMBER(Metrics!B71))),"-",Data!$B$8/Metrics!B71),"-")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59" t="n"/>
      <c r="Y91" s="45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IFERROR(IF(OR(NOT(ISNUMBER(Data!$B$8)),NOT(ISNUMBER(Data!B27))),"-",Data!$B$8/(Data!B27/20)),"-")</f>
        <v/>
      </c>
      <c r="C95" s="91">
        <f>IFERROR(IF(OR(NOT(ISNUMBER(Data!$B$8)),NOT(ISNUMBER(Data!C27))),"-",Data!$B$8/(Data!C27/20)),"-")</f>
        <v/>
      </c>
      <c r="D95" s="91">
        <f>IFERROR(IF(OR(NOT(ISNUMBER(Data!$B$8)),NOT(ISNUMBER(Data!D27))),"-",Data!$B$8/(Data!D27/20)),"-")</f>
        <v/>
      </c>
      <c r="E95" s="91">
        <f>IFERROR(IF(OR(NOT(ISNUMBER(Data!$B$8)),NOT(ISNUMBER(Data!E27))),"-",Data!$B$8/(Data!E27/20)),"-")</f>
        <v/>
      </c>
      <c r="F95" s="91">
        <f>IFERROR(IF(OR(NOT(ISNUMBER(Data!$B$8)),NOT(ISNUMBER(Data!F27))),"-",Data!$B$8/(Data!F27/20)),"-")</f>
        <v/>
      </c>
      <c r="G95" s="91">
        <f>IFERROR(IF(OR(NOT(ISNUMBER(Data!$B$8)),NOT(ISNUMBER(Data!G27))),"-",Data!$B$8/(Data!G27/20)),"-")</f>
        <v/>
      </c>
      <c r="H95" s="91">
        <f>IFERROR(IF(OR(NOT(ISNUMBER(Data!$B$8)),NOT(ISNUMBER(Data!H27))),"-",Data!$B$8/(Data!H27/20)),"-")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B14)),OR(NOT(AND(ISNUMBER(Data!$B$8),Data!$B$8&lt;&gt;0)),AND(NOT(AND(ISNUMBER(Market!$B$11),Market!$B$11&lt;&gt;0)),NOT(AND(ISNUMBER(Data!B28),Data!B28&lt;&gt;0))))),"-",(Data!$B$8*IF(AND(ISNUMBER(Market!$B$11),Market!$B$11&lt;&gt;0),Market!$B$11,Data!B28))/Data!B14)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B53)),OR(NOT(AND(ISNUMBER(Data!$B$8),Data!$B$8&lt;&gt;0)),AND(NOT(AND(ISNUMBER(Market!$B$11),Market!$B$11&lt;&gt;0)),NOT(AND(ISNUMBER(Data!B28),Data!B28&lt;&gt;0))))),"-",(Data!$B$8*IF(AND(ISNUMBER(Market!$B$11),Market!$B$11&lt;&gt;0),Market!$B$11,Data!B28))/Data!B53)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B20)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20)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B22)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22)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Data!B53)),OR(NOT(AND(ISNUMBER(Data!$B$8),Data!$B$8&lt;&gt;0)),AND(NOT(AND(ISNUMBER(Market!$B$11),Market!$B$11&lt;&gt;0)),NOT(AND(ISNUMBER(Data!B28),Data!B28&lt;&gt;0))))),"-",Data!B53/(Data!$B$8*IF(AND(ISNUMBER(Market!$B$11),Market!$B$11&lt;&gt;0),Market!$B$11,Data!B28))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5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IFERROR(IF(OR(NOT(ISNUMBER(Data!B27)),NOT(ISNUMBER(Data!$B$8))),"-",(Data!B27/20)/Data!$B$8),"-")</f>
        <v/>
      </c>
      <c r="C102" s="89">
        <f>IFERROR(IF(OR(NOT(ISNUMBER(Data!C27)),NOT(ISNUMBER(Data!$B$8))),"-",(Data!C27/20)/Data!$B$8),"-")</f>
        <v/>
      </c>
      <c r="D102" s="89">
        <f>IFERROR(IF(OR(NOT(ISNUMBER(Data!D27)),NOT(ISNUMBER(Data!$B$8))),"-",(Data!D27/20)/Data!$B$8),"-")</f>
        <v/>
      </c>
      <c r="E102" s="89">
        <f>IFERROR(IF(OR(NOT(ISNUMBER(Data!E27)),NOT(ISNUMBER(Data!$B$8))),"-",(Data!E27/20)/Data!$B$8),"-")</f>
        <v/>
      </c>
      <c r="F102" s="89">
        <f>IFERROR(IF(OR(NOT(ISNUMBER(Data!F27)),NOT(ISNUMBER(Data!$B$8))),"-",(Data!F27/20)/Data!$B$8),"-")</f>
        <v/>
      </c>
      <c r="G102" s="89">
        <f>IFERROR(IF(OR(NOT(ISNUMBER(Data!G27)),NOT(ISNUMBER(Data!$B$8))),"-",(Data!G27/20)/Data!$B$8),"-")</f>
        <v/>
      </c>
      <c r="H102" s="89">
        <f>IFERROR(IF(OR(NOT(ISNUMBER(Data!H27)),NOT(ISNUMBER(Data!$B$8))),"-",(Data!H27/20)/Data!$B$8),"-")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5">
        <f>IFERROR(IF(OR(NOT(ISNUMBER(Data!U27)),NOT(ISNUMBER(Data!V27)),NOT(ISNUMBER(Data!W27)),NOT(ISNUMBER(Data!X27)),NOT(ISNUMBER(Data!$B$8))),"-",(Data!U27+Data!V27+Data!W27+Data!X27)/Data!$B$8),"-")</f>
        <v/>
      </c>
      <c r="Y102" s="45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7" t="n"/>
      <c r="Y103" s="45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5">
        <f>IFERROR(IF(OR(NOT(ISNUMBER(Data!X37)),NOT(ISNUMBER(Data!X38)),NOT(ISNUMBER(Data!X39))),"-",(Data!X37-Data!X38)/Data!X39),"-")</f>
        <v/>
      </c>
      <c r="Y107" s="45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5">
        <f>IFERROR(IF(OR(NOT(ISNUMBER(Data!X48)),NOT(ISNUMBER(Data!X39))),"-",Data!X48/Data!X39),"-")</f>
        <v/>
      </c>
      <c r="Y108" s="45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5">
        <f>IFERROR(IF(OR(NOT(ISNUMBER(Data!X41)),NOT(ISNUMBER(Data!X40))),"-",Data!X41/Data!X40),"-")</f>
        <v/>
      </c>
      <c r="Y110" s="45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5">
        <f>IFERROR(IF(OR(NOT(ISNUMBER(Data!U14)),NOT(ISNUMBER(Data!V14)),NOT(ISNUMBER(Data!W14)),NOT(ISNUMBER(Data!X14)),NOT(ISNUMBER(Data!X39))),"-",(Data!U14+Data!V14+Data!W14+Data!X14)/Data!X39),"-")</f>
        <v/>
      </c>
      <c r="Y111" s="45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IFERROR(IF(OR(NOT(ISNUMBER(Metrics!B107)),NOT(ISNUMBER(Metrics!B108)),NOT(ISNUMBER(Metrics!B109)),NOT(ISNUMBER(Metrics!B110)),NOT(ISNUMBER(Metrics!B111))),"-",0.717*Metrics!B107+0.847*Metrics!B108+3.107*Metrics!B109+0.420*Metrics!B110+0.998*Metrics!B111),"-")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5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5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5" t="n"/>
      <c r="Y113" s="455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7" t="n"/>
      <c r="Y114" s="457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5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5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5">
        <f>IFERROR(IF(OR(NOT(ISNUMBER(Data!X39)),NOT(ISNUMBER(Data!X41))),"-",Data!X39/Data!X41),"-")</f>
        <v/>
      </c>
      <c r="Y120" s="45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5" t="n"/>
      <c r="Y121" s="45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5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5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5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5" t="n"/>
      <c r="Y126" s="45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1">
        <f>IFERROR(IF(OR(NOT(ISNUMBER(Data!X14)),NOT(ISNUMBER(Data!W14))),"-",(Data!X14-Data!W14)/ABS(Data!W14)),"-")</f>
        <v/>
      </c>
      <c r="Y130" s="46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1">
        <f>IFERROR(IF(OR(NOT(ISNUMBER(Data!X26)),NOT(ISNUMBER(Data!W26))),"-",(Data!X26-Data!W26)/ABS(Data!W26)),"-")</f>
        <v/>
      </c>
      <c r="Y131" s="46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1">
        <f>IFERROR(IF(OR(NOT(ISNUMBER(Data!X27)),NOT(ISNUMBER(Data!W27))),"-",(Data!X27-Data!W27)/ABS(Data!W27)),"-")</f>
        <v/>
      </c>
      <c r="Y132" s="46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1">
        <f>IFERROR(IF(OR(NOT(ISNUMBER(Data!X20)),NOT(ISNUMBER(Data!W20))),"-",(Data!X20-Data!W20)/ABS(Data!W20)),"-")</f>
        <v/>
      </c>
      <c r="Y133" s="46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1">
        <f>IFERROR(IF(OR(NOT(ISNUMBER(Data!X53)),NOT(ISNUMBER(Data!W53))),"-",(Data!X53-Data!W53)/ABS(Data!W53)),"-")</f>
        <v/>
      </c>
      <c r="Y134" s="46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1">
        <f>IFERROR(IF(OR(NOT(ISNUMBER(Data!X14)),NOT(ISNUMBER(Data!T14))),"-",(Data!X14-Data!T14)/ABS(Data!T14)),"-")</f>
        <v/>
      </c>
      <c r="Y137" s="46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1">
        <f>IFERROR(IF(OR(NOT(ISNUMBER(Data!X26)),NOT(ISNUMBER(Data!T26))),"-",(Data!X26-Data!T26)/ABS(Data!T26)),"-")</f>
        <v/>
      </c>
      <c r="Y138" s="46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1">
        <f>IFERROR(IF(OR(NOT(ISNUMBER(Data!X27)),NOT(ISNUMBER(Data!T27))),"-",(Data!X27-Data!T27)/ABS(Data!T27)),"-")</f>
        <v/>
      </c>
      <c r="Y139" s="46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1">
        <f>IFERROR(IF(OR(NOT(ISNUMBER(Data!X20)),NOT(ISNUMBER(Data!T20))),"-",(Data!X20-Data!T20)/ABS(Data!T20)),"-")</f>
        <v/>
      </c>
      <c r="Y140" s="46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1">
        <f>IFERROR(IF(OR(NOT(ISNUMBER(Data!X53)),NOT(ISNUMBER(Data!T53))),"-",(Data!X53-Data!T53)/ABS(Data!T53)),"-")</f>
        <v/>
      </c>
      <c r="Y141" s="46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1">
        <f>IFERROR(IF(OR(NOT(ISNUMBER(Data!X16)),NOT(ISNUMBER(Data!X14))),"-",Data!X16/Data!X14),"-")</f>
        <v/>
      </c>
      <c r="Y144" s="46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1">
        <f>IFERROR(IF(OR(NOT(ISNUMBER(Data!X20)),NOT(ISNUMBER(Data!X14))),"-",Data!X20/Data!X14),"-")</f>
        <v/>
      </c>
      <c r="Y145" s="46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1">
        <f>IFERROR(IF(OR(NOT(ISNUMBER(Data!X22)),NOT(ISNUMBER(Data!X14))),"-",Data!X22/Data!X14),"-")</f>
        <v/>
      </c>
      <c r="Y146" s="46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1">
        <f>IFERROR(IF(OR(NOT(ISNUMBER(Data!X26)),NOT(ISNUMBER(Data!X14))),"-",Data!X26/Data!X14),"-")</f>
        <v/>
      </c>
      <c r="Y147" s="46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1">
        <f>IFERROR(IF(OR(NOT(ISNUMBER(Data!X53)),NOT(ISNUMBER(Data!X14))),"-",Data!X53/Data!X14),"-")</f>
        <v/>
      </c>
      <c r="Y148" s="46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IFERROR(IF(OR(NOT(ISNUMBER(Data!L27)),NOT(ISNUMBER(Data!G27)),Data!G27&lt;=0),"-",(Data!L27/(Data!G27/20))^(1/5)-1),"-")</f>
        <v/>
      </c>
      <c r="D156" s="81">
        <f>IFERROR(IF(OR(NOT(ISNUMBER(Data!L27)),NOT(ISNUMBER(Data!B27)),Data!B27&lt;=0,Data!L27&lt;0),"-",(Data!L27/(Data!B27/20))^(1/10)-1),"-")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IFERROR(IF(OR(NOT(ISNUMBER(Data!L55)),NOT(ISNUMBER(Data!L28)),NOT(ISNUMBER(Data!G55)),NOT(ISNUMBER(Data!G28))),"-",((ABS(Data!L55)/Data!L28)/(ABS(Data!G55)/(Data!G28*20)))^(1/5)-1),"-")</f>
        <v/>
      </c>
      <c r="D159" s="84">
        <f>IFERROR(IF(OR(NOT(ISNUMBER(Data!L55)),NOT(ISNUMBER(Data!L28)),NOT(ISNUMBER(Data!B55)),NOT(ISNUMBER(Data!B28))),"-",((ABS(Data!L55)/Data!L28)/(ABS(Data!B55)/(Data!B28*20)))^(1/10)-1),"-")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IFERROR(IF(OR(NOT(ISNUMBER(Data!L28)),NOT(ISNUMBER(Data!G28)),Data!G28&lt;=0),"-",(Data!L28/(Data!G28*20))^(1/5)-1),"-")</f>
        <v/>
      </c>
      <c r="D160" s="84">
        <f>IFERROR(IF(OR(NOT(ISNUMBER(Data!L28)),NOT(ISNUMBER(Data!B28)),Data!B28&lt;=0,Data!L28&lt;0),"-",(Data!L28/(Data!B28*20))^(1/10)-1),"-")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IFERROR(IF(OR(NOT(ISNUMBER(Data!B57)),NOT(ISNUMBER(Data!B27))),"-",Data!B57/Data!B27),"-")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IFERROR(IF(OR(NOT(ISNUMBER(Data!B57)),NOT(ISNUMBER(Data!B14)),NOT(ISNUMBER(Data!B28))),"-",Data!B57/(Data!B14/Data!B28)),"-")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IFERROR(IF(OR(NOT(ISNUMBER(Data!B57)),NOT(ISNUMBER(Data!B41)),NOT(ISNUMBER(Data!B28))),"-",Data!B57/(Data!B41/Data!B28)),"-")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IFERROR(IF(OR(NOT(ISNUMBER(Data!B57)),NOT(ISNUMBER(Data!B53)),NOT(ISNUMBER(Data!B28))),"-",Data!B57/(Data!B53/Data!B28)),"-")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IFERROR(IF(OR(NOT(ISNUMBER(Data!B57)),NOT(ISNUMBER(Data!B28)),NOT(ISNUMBER(Data!B20))),"-",(Data!B57*Data!B28+Data!B36+Data!B42)/Data!B20),"-")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IFERROR(IF(OR(NOT(ISNUMBER(Data!B57)),NOT(ISNUMBER(Data!B28)),NOT(ISNUMBER(Data!B22))),"-",(Data!B57*Data!B28+Data!B36+Data!B42)/Data!B22),"-")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IFERROR(IF(AND(ISNUMBER(Metrics!B198),ISNUMBER((Data!B28*20))),Metrics!B198/(Data!B28*20),"-"),"-")</f>
        <v/>
      </c>
      <c r="C199" s="276">
        <f>IFERROR(IF(AND(ISNUMBER(Metrics!C198),ISNUMBER((Data!C28*20))),Metrics!C198/(Data!C28*20),"-"),"-")</f>
        <v/>
      </c>
      <c r="D199" s="276">
        <f>IFERROR(IF(AND(ISNUMBER(Metrics!D198),ISNUMBER((Data!D28*20))),Metrics!D198/(Data!D28*20),"-"),"-")</f>
        <v/>
      </c>
      <c r="E199" s="276">
        <f>IFERROR(IF(AND(ISNUMBER(Metrics!E198),ISNUMBER((Data!E28*20))),Metrics!E198/(Data!E28*20),"-"),"-")</f>
        <v/>
      </c>
      <c r="F199" s="276">
        <f>IFERROR(IF(AND(ISNUMBER(Metrics!F198),ISNUMBER((Data!F28*20))),Metrics!F198/(Data!F28*20),"-"),"-")</f>
        <v/>
      </c>
      <c r="G199" s="276">
        <f>IFERROR(IF(AND(ISNUMBER(Metrics!G198),ISNUMBER((Data!G28*20))),Metrics!G198/(Data!G28*20),"-"),"-")</f>
        <v/>
      </c>
      <c r="H199" s="276">
        <f>IFERROR(IF(AND(ISNUMBER(Metrics!H198),ISNUMBER((Data!H28*20))),Metrics!H198/(Data!H28*20),"-"),"-")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2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Meta Platforms, Inc.</t>
        </is>
      </c>
      <c r="C2" s="279" t="inlineStr">
        <is>
          <t>Microsoft Corporation</t>
        </is>
      </c>
      <c r="D2" s="279" t="n"/>
      <c r="E2" s="279" t="n"/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META</t>
        </is>
      </c>
      <c r="C3" s="425" t="inlineStr">
        <is>
          <t>MSFT</t>
        </is>
      </c>
      <c r="D3" s="425" t="n"/>
      <c r="E3" s="425" t="n"/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June</t>
        </is>
      </c>
      <c r="D5" s="425" t="n"/>
      <c r="E5" s="425" t="n"/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 (Jun)</t>
        </is>
      </c>
      <c r="D7" s="425" t="n"/>
      <c r="E7" s="425" t="n"/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200966</v>
      </c>
      <c r="C10" s="427" t="n">
        <v>281724</v>
      </c>
      <c r="D10" s="427" t="n"/>
      <c r="E10" s="427" t="n"/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41.4</v>
      </c>
      <c r="C11" s="428" t="n">
        <v>45.6</v>
      </c>
      <c r="D11" s="428" t="n"/>
      <c r="E11" s="428" t="n"/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50.7</v>
      </c>
      <c r="C12" s="429" t="n">
        <v>57.7</v>
      </c>
      <c r="D12" s="429" t="n"/>
      <c r="E12" s="429" t="n"/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30.1</v>
      </c>
      <c r="C13" s="428" t="n">
        <v>36.1</v>
      </c>
      <c r="D13" s="428" t="n"/>
      <c r="E13" s="428" t="n"/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82</v>
      </c>
      <c r="C14" s="429" t="n">
        <v>68.8</v>
      </c>
      <c r="D14" s="429" t="n"/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22.9</v>
      </c>
      <c r="C15" s="428" t="n">
        <v>25.4</v>
      </c>
      <c r="D15" s="428" t="n"/>
      <c r="E15" s="428" t="n"/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24.4</v>
      </c>
      <c r="C17" s="429" t="n">
        <v>29.7</v>
      </c>
      <c r="D17" s="429" t="n"/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27.8</v>
      </c>
      <c r="C18" s="428" t="n">
        <v>29.6</v>
      </c>
      <c r="D18" s="428" t="n"/>
      <c r="E18" s="428" t="n"/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16.5</v>
      </c>
      <c r="C19" s="429" t="n">
        <v>16.5</v>
      </c>
      <c r="D19" s="429" t="n"/>
      <c r="E19" s="429" t="n"/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0.549</v>
      </c>
      <c r="C20" s="430" t="n">
        <v>0.455</v>
      </c>
      <c r="D20" s="430" t="n"/>
      <c r="E20" s="430" t="n"/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-0.2</v>
      </c>
      <c r="C22" s="431" t="n">
        <v>-0.3</v>
      </c>
      <c r="D22" s="431" t="n"/>
      <c r="E22" s="431" t="n"/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0.27</v>
      </c>
      <c r="C23" s="430" t="n">
        <v>0.126</v>
      </c>
      <c r="D23" s="430" t="n"/>
      <c r="E23" s="430" t="n"/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71.5</v>
      </c>
      <c r="C24" s="429" t="n">
        <v>53.9</v>
      </c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2.6</v>
      </c>
      <c r="C25" s="430" t="n">
        <v>1.35</v>
      </c>
      <c r="D25" s="430" t="n"/>
      <c r="E25" s="430" t="n"/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13.7</v>
      </c>
      <c r="C27" s="429" t="n">
        <v>20.9</v>
      </c>
      <c r="D27" s="429" t="n"/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23.5</v>
      </c>
      <c r="C28" s="428" t="n">
        <v>33.9</v>
      </c>
      <c r="D28" s="428" t="n"/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3.3</v>
      </c>
      <c r="C29" s="429" t="n">
        <v>2.1</v>
      </c>
      <c r="D29" s="429" t="n"/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35.9</v>
      </c>
      <c r="C31" s="428" t="n">
        <v>90.59999999999999</v>
      </c>
      <c r="D31" s="428" t="n"/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/>
      <c r="C32" s="429" t="n">
        <v>3.9</v>
      </c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89.7</v>
      </c>
      <c r="C33" s="428" t="n">
        <v>115.2</v>
      </c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-53.8</v>
      </c>
      <c r="C34" s="429" t="n">
        <v>-20.7</v>
      </c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34.7</v>
      </c>
      <c r="C35" s="428" t="n">
        <v>22.9</v>
      </c>
      <c r="D35" s="428" t="n"/>
      <c r="E35" s="428" t="n"/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71" t="n"/>
      <c r="B36" s="572" t="n"/>
      <c r="C36" s="572" t="n"/>
      <c r="D36" s="572" t="n"/>
      <c r="E36" s="572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71" t="n"/>
      <c r="B37" s="572" t="n"/>
      <c r="C37" s="572" t="n"/>
      <c r="D37" s="572" t="n"/>
      <c r="E37" s="572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71" t="n"/>
      <c r="B38" s="572" t="n"/>
      <c r="C38" s="572" t="n"/>
      <c r="D38" s="572" t="n"/>
      <c r="E38" s="572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71" t="n"/>
      <c r="B39" s="572" t="n"/>
      <c r="C39" s="572" t="n"/>
      <c r="D39" s="572" t="n"/>
      <c r="E39" s="572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71" t="n"/>
      <c r="B40" s="572" t="n"/>
      <c r="C40" s="572" t="n"/>
      <c r="D40" s="572" t="n"/>
      <c r="E40" s="572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71" t="n"/>
      <c r="B41" s="572" t="n"/>
      <c r="C41" s="572" t="n"/>
      <c r="D41" s="572" t="n"/>
      <c r="E41" s="572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71" t="n"/>
      <c r="B42" s="572" t="n"/>
      <c r="C42" s="572" t="n"/>
      <c r="D42" s="572" t="n"/>
      <c r="E42" s="572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71" t="n"/>
      <c r="B43" s="572" t="n"/>
      <c r="C43" s="572" t="n"/>
      <c r="D43" s="572" t="n"/>
      <c r="E43" s="572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71" t="n"/>
      <c r="B44" s="572" t="n"/>
      <c r="C44" s="572" t="n"/>
      <c r="D44" s="572" t="n"/>
      <c r="E44" s="572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71" t="n"/>
      <c r="B45" s="572" t="n"/>
      <c r="C45" s="572" t="n"/>
      <c r="D45" s="572" t="n"/>
      <c r="E45" s="572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71" t="n"/>
      <c r="B46" s="572" t="n"/>
      <c r="C46" s="572" t="n"/>
      <c r="D46" s="572" t="n"/>
      <c r="E46" s="572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71" t="n"/>
      <c r="B47" s="572" t="n"/>
      <c r="C47" s="572" t="n"/>
      <c r="D47" s="572" t="n"/>
      <c r="E47" s="572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71" t="n"/>
      <c r="B48" s="572" t="n"/>
      <c r="C48" s="572" t="n"/>
      <c r="D48" s="572" t="n"/>
      <c r="E48" s="572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564" t="n"/>
      <c r="C49" s="564" t="n"/>
      <c r="D49" s="564" t="n"/>
      <c r="E49" s="564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PERIOD_LAG_6M_JUNE_FYE</t>
        </is>
      </c>
      <c r="D50" s="574" t="n"/>
      <c r="E50" s="574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PERIOD_LAG_6M</t>
        </is>
      </c>
      <c r="D51" s="574" t="n"/>
      <c r="E51" s="574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574" t="n"/>
      <c r="C52" s="574" t="n"/>
      <c r="D52" s="574" t="n"/>
      <c r="E52" s="574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311" t="inlineStr">
        <is>
          <t>TAX_ELEVATED</t>
        </is>
      </c>
      <c r="C53" s="574" t="n"/>
      <c r="D53" s="574" t="n"/>
      <c r="E53" s="574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DEFINITION_DIFF</t>
        </is>
      </c>
      <c r="C54" s="574" t="n"/>
      <c r="D54" s="574" t="n"/>
      <c r="E54" s="574" t="n"/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574" t="n"/>
      <c r="C55" s="574" t="n"/>
      <c r="D55" s="574" t="n"/>
      <c r="E55" s="574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311" t="inlineStr">
        <is>
          <t>TAX_ELEVATED</t>
        </is>
      </c>
      <c r="C56" s="574" t="n"/>
      <c r="D56" s="574" t="n"/>
      <c r="E56" s="574" t="n"/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574" t="n"/>
      <c r="C57" s="574" t="n"/>
      <c r="D57" s="574" t="n"/>
      <c r="E57" s="574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574" t="n"/>
      <c r="C58" s="311" t="inlineStr">
        <is>
          <t>GOODWILL_HEAVY</t>
        </is>
      </c>
      <c r="D58" s="574" t="n"/>
      <c r="E58" s="574" t="n"/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574" t="n"/>
      <c r="C59" s="574" t="n"/>
      <c r="D59" s="574" t="n"/>
      <c r="E59" s="574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574" t="n"/>
      <c r="C60" s="574" t="n"/>
      <c r="D60" s="574" t="n"/>
      <c r="E60" s="574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MARKET_SOURCED_STALE</t>
        </is>
      </c>
      <c r="D61" s="574" t="n"/>
      <c r="E61" s="574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MARKET_SOURCED_TAX_ELEVATED</t>
        </is>
      </c>
      <c r="C62" s="311" t="inlineStr">
        <is>
          <t>MARKET_SOURCED_STALE</t>
        </is>
      </c>
      <c r="D62" s="574" t="n"/>
      <c r="E62" s="574" t="n"/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GOOG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80.9908052917</v>
      </c>
      <c r="C3" s="308" t="n">
        <v>321.5860184424</v>
      </c>
    </row>
    <row r="4">
      <c r="A4" s="308" t="inlineStr">
        <is>
          <t>2020-09</t>
        </is>
      </c>
      <c r="B4" s="308" t="n">
        <v>72.83413544210001</v>
      </c>
      <c r="C4" s="308" t="n">
        <v>309.5592456058</v>
      </c>
    </row>
    <row r="5">
      <c r="A5" s="308" t="inlineStr">
        <is>
          <t>2020-10</t>
        </is>
      </c>
      <c r="B5" s="308" t="n">
        <v>80.3380932859</v>
      </c>
      <c r="C5" s="308" t="n">
        <v>301.8408314973</v>
      </c>
    </row>
    <row r="6">
      <c r="A6" s="308" t="inlineStr">
        <is>
          <t>2020-11</t>
        </is>
      </c>
      <c r="B6" s="308" t="n">
        <v>87.26318429379999</v>
      </c>
      <c r="C6" s="308" t="n">
        <v>334.6741331902</v>
      </c>
    </row>
    <row r="7">
      <c r="A7" s="308" t="inlineStr">
        <is>
          <t>2020-12</t>
        </is>
      </c>
      <c r="B7" s="308" t="n">
        <v>86.8240781153</v>
      </c>
      <c r="C7" s="308" t="n">
        <v>347.0791635841</v>
      </c>
    </row>
    <row r="8">
      <c r="A8" s="308" t="inlineStr">
        <is>
          <t>2021-01</t>
        </is>
      </c>
      <c r="B8" s="308" t="n">
        <v>90.9802230514</v>
      </c>
      <c r="C8" s="308" t="n">
        <v>343.5422757772</v>
      </c>
    </row>
    <row r="9">
      <c r="A9" s="308" t="inlineStr">
        <is>
          <t>2021-02</t>
        </is>
      </c>
      <c r="B9" s="308" t="n">
        <v>100.9478341838</v>
      </c>
      <c r="C9" s="308" t="n">
        <v>353.0946578069</v>
      </c>
    </row>
    <row r="10">
      <c r="A10" s="308" t="inlineStr">
        <is>
          <t>2021-03</t>
        </is>
      </c>
      <c r="B10" s="308" t="n">
        <v>102.5223718015</v>
      </c>
      <c r="C10" s="308" t="n">
        <v>369.1269350071</v>
      </c>
    </row>
    <row r="11">
      <c r="A11" s="308" t="inlineStr">
        <is>
          <t>2021-04</t>
        </is>
      </c>
      <c r="B11" s="308" t="n">
        <v>119.4467926726</v>
      </c>
      <c r="C11" s="308" t="n">
        <v>388.6576085041</v>
      </c>
    </row>
    <row r="12">
      <c r="A12" s="308" t="inlineStr">
        <is>
          <t>2021-05</t>
        </is>
      </c>
      <c r="B12" s="308" t="n">
        <v>119.5181598167</v>
      </c>
      <c r="C12" s="308" t="n">
        <v>391.2095419988</v>
      </c>
    </row>
    <row r="13">
      <c r="A13" s="308" t="inlineStr">
        <is>
          <t>2021-06</t>
        </is>
      </c>
      <c r="B13" s="308" t="n">
        <v>124.2145143856</v>
      </c>
      <c r="C13" s="308" t="n">
        <v>400.0010900298</v>
      </c>
    </row>
    <row r="14">
      <c r="A14" s="308" t="inlineStr">
        <is>
          <t>2021-07</t>
        </is>
      </c>
      <c r="B14" s="308" t="n">
        <v>134.0324527573</v>
      </c>
      <c r="C14" s="308" t="n">
        <v>409.766102857</v>
      </c>
    </row>
    <row r="15">
      <c r="A15" s="308" t="inlineStr">
        <is>
          <t>2021-08</t>
        </is>
      </c>
      <c r="B15" s="308" t="n">
        <v>144.1834378017</v>
      </c>
      <c r="C15" s="308" t="n">
        <v>421.9606882536</v>
      </c>
    </row>
    <row r="16">
      <c r="A16" s="308" t="inlineStr">
        <is>
          <t>2021-09</t>
        </is>
      </c>
      <c r="B16" s="308" t="n">
        <v>132.0941409466</v>
      </c>
      <c r="C16" s="308" t="n">
        <v>402.3077362055</v>
      </c>
    </row>
    <row r="17">
      <c r="A17" s="308" t="inlineStr">
        <is>
          <t>2021-10</t>
        </is>
      </c>
      <c r="B17" s="308" t="n">
        <v>146.9672520286</v>
      </c>
      <c r="C17" s="308" t="n">
        <v>430.5350884382</v>
      </c>
    </row>
    <row r="18">
      <c r="A18" s="308" t="inlineStr">
        <is>
          <t>2021-11</t>
        </is>
      </c>
      <c r="B18" s="308" t="n">
        <v>141.1998946923</v>
      </c>
      <c r="C18" s="308" t="n">
        <v>427.0758081414</v>
      </c>
    </row>
    <row r="19">
      <c r="A19" s="308" t="inlineStr">
        <is>
          <t>2021-12</t>
        </is>
      </c>
      <c r="B19" s="308" t="n">
        <v>143.4078157143</v>
      </c>
      <c r="C19" s="308" t="n">
        <v>446.8444096561</v>
      </c>
    </row>
    <row r="20">
      <c r="A20" s="308" t="inlineStr">
        <is>
          <t>2022-01</t>
        </is>
      </c>
      <c r="B20" s="308" t="n">
        <v>134.5057556925</v>
      </c>
      <c r="C20" s="308" t="n">
        <v>423.2772619766</v>
      </c>
    </row>
    <row r="21">
      <c r="A21" s="308" t="inlineStr">
        <is>
          <t>2022-02</t>
        </is>
      </c>
      <c r="B21" s="308" t="n">
        <v>133.7053533467</v>
      </c>
      <c r="C21" s="308" t="n">
        <v>410.7833808913</v>
      </c>
    </row>
    <row r="22">
      <c r="A22" s="308" t="inlineStr">
        <is>
          <t>2022-03</t>
        </is>
      </c>
      <c r="B22" s="308" t="n">
        <v>138.4220277275</v>
      </c>
      <c r="C22" s="308" t="n">
        <v>426.21058511</v>
      </c>
    </row>
    <row r="23">
      <c r="A23" s="308" t="inlineStr">
        <is>
          <t>2022-04</t>
        </is>
      </c>
      <c r="B23" s="308" t="n">
        <v>113.9559830199</v>
      </c>
      <c r="C23" s="308" t="n">
        <v>388.8024999232</v>
      </c>
    </row>
    <row r="24">
      <c r="A24" s="308" t="inlineStr">
        <is>
          <t>2022-05</t>
        </is>
      </c>
      <c r="B24" s="308" t="n">
        <v>113.0366354338</v>
      </c>
      <c r="C24" s="308" t="n">
        <v>389.6801366342</v>
      </c>
    </row>
    <row r="25">
      <c r="A25" s="308" t="inlineStr">
        <is>
          <t>2022-06</t>
        </is>
      </c>
      <c r="B25" s="308" t="n">
        <v>108.4111524039</v>
      </c>
      <c r="C25" s="308" t="n">
        <v>357.543498354</v>
      </c>
    </row>
    <row r="26">
      <c r="A26" s="308" t="inlineStr">
        <is>
          <t>2022-07</t>
        </is>
      </c>
      <c r="B26" s="308" t="n">
        <v>115.6147735161</v>
      </c>
      <c r="C26" s="308" t="n">
        <v>390.4687763734</v>
      </c>
    </row>
    <row r="27">
      <c r="A27" s="308" t="inlineStr">
        <is>
          <t>2022-08</t>
        </is>
      </c>
      <c r="B27" s="308" t="n">
        <v>108.1906081042</v>
      </c>
      <c r="C27" s="308" t="n">
        <v>374.536884505</v>
      </c>
    </row>
    <row r="28">
      <c r="A28" s="308" t="inlineStr">
        <is>
          <t>2022-09</t>
        </is>
      </c>
      <c r="B28" s="308" t="n">
        <v>95.3048737446</v>
      </c>
      <c r="C28" s="308" t="n">
        <v>339.9235382673</v>
      </c>
    </row>
    <row r="29">
      <c r="A29" s="308" t="inlineStr">
        <is>
          <t>2022-10</t>
        </is>
      </c>
      <c r="B29" s="308" t="n">
        <v>93.8279703449</v>
      </c>
      <c r="C29" s="308" t="n">
        <v>367.5510098947</v>
      </c>
    </row>
    <row r="30">
      <c r="A30" s="308" t="inlineStr">
        <is>
          <t>2022-11</t>
        </is>
      </c>
      <c r="B30" s="308" t="n">
        <v>100.558288522</v>
      </c>
      <c r="C30" s="308" t="n">
        <v>387.9837283185</v>
      </c>
    </row>
    <row r="31">
      <c r="A31" s="308" t="inlineStr">
        <is>
          <t>2022-12</t>
        </is>
      </c>
      <c r="B31" s="308" t="n">
        <v>87.95009305630001</v>
      </c>
      <c r="C31" s="308" t="n">
        <v>365.645252784</v>
      </c>
    </row>
    <row r="32">
      <c r="A32" s="308" t="inlineStr">
        <is>
          <t>2023-01</t>
        </is>
      </c>
      <c r="B32" s="308" t="n">
        <v>98.9921761921</v>
      </c>
      <c r="C32" s="308" t="n">
        <v>388.6397049176</v>
      </c>
    </row>
    <row r="33">
      <c r="A33" s="308" t="inlineStr">
        <is>
          <t>2023-02</t>
        </is>
      </c>
      <c r="B33" s="308" t="n">
        <v>89.5062932828</v>
      </c>
      <c r="C33" s="308" t="n">
        <v>378.8682578986</v>
      </c>
    </row>
    <row r="34">
      <c r="A34" s="308" t="inlineStr">
        <is>
          <t>2023-03</t>
        </is>
      </c>
      <c r="B34" s="308" t="n">
        <v>103.0858748772</v>
      </c>
      <c r="C34" s="308" t="n">
        <v>392.9337203794</v>
      </c>
    </row>
    <row r="35">
      <c r="A35" s="308" t="inlineStr">
        <is>
          <t>2023-04</t>
        </is>
      </c>
      <c r="B35" s="308" t="n">
        <v>107.2687824924</v>
      </c>
      <c r="C35" s="308" t="n">
        <v>399.2108315235</v>
      </c>
    </row>
    <row r="36">
      <c r="A36" s="308" t="inlineStr">
        <is>
          <t>2023-05</t>
        </is>
      </c>
      <c r="B36" s="308" t="n">
        <v>122.285619073</v>
      </c>
      <c r="C36" s="308" t="n">
        <v>401.0536531438</v>
      </c>
    </row>
    <row r="37">
      <c r="A37" s="308" t="inlineStr">
        <is>
          <t>2023-06</t>
        </is>
      </c>
      <c r="B37" s="308" t="n">
        <v>119.9067142682</v>
      </c>
      <c r="C37" s="308" t="n">
        <v>427.0476200424</v>
      </c>
    </row>
    <row r="38">
      <c r="A38" s="308" t="inlineStr">
        <is>
          <t>2023-07</t>
        </is>
      </c>
      <c r="B38" s="308" t="n">
        <v>131.9400077394</v>
      </c>
      <c r="C38" s="308" t="n">
        <v>441.0262813103</v>
      </c>
    </row>
    <row r="39">
      <c r="A39" s="308" t="inlineStr">
        <is>
          <t>2023-08</t>
        </is>
      </c>
      <c r="B39" s="308" t="n">
        <v>136.1427395613</v>
      </c>
      <c r="C39" s="308" t="n">
        <v>433.8587251536</v>
      </c>
    </row>
    <row r="40">
      <c r="A40" s="308" t="inlineStr">
        <is>
          <t>2023-09</t>
        </is>
      </c>
      <c r="B40" s="308" t="n">
        <v>130.6910827169</v>
      </c>
      <c r="C40" s="308" t="n">
        <v>413.2967305907</v>
      </c>
    </row>
    <row r="41">
      <c r="A41" s="308" t="inlineStr">
        <is>
          <t>2023-10</t>
        </is>
      </c>
      <c r="B41" s="308" t="n">
        <v>124.1986550203</v>
      </c>
      <c r="C41" s="308" t="n">
        <v>404.3246297675</v>
      </c>
    </row>
    <row r="42">
      <c r="A42" s="308" t="inlineStr">
        <is>
          <t>2023-11</t>
        </is>
      </c>
      <c r="B42" s="308" t="n">
        <v>132.742888111</v>
      </c>
      <c r="C42" s="308" t="n">
        <v>441.2571999663</v>
      </c>
    </row>
    <row r="43">
      <c r="A43" s="308" t="inlineStr">
        <is>
          <t>2023-12</t>
        </is>
      </c>
      <c r="B43" s="308" t="n">
        <v>139.6912725619</v>
      </c>
      <c r="C43" s="308" t="n">
        <v>461.4061014052</v>
      </c>
    </row>
    <row r="44">
      <c r="A44" s="308" t="inlineStr">
        <is>
          <t>2024-01</t>
        </is>
      </c>
      <c r="B44" s="308" t="n">
        <v>140.5536255537</v>
      </c>
      <c r="C44" s="308" t="n">
        <v>468.7546616872</v>
      </c>
    </row>
    <row r="45">
      <c r="A45" s="308" t="inlineStr">
        <is>
          <t>2024-02</t>
        </is>
      </c>
      <c r="B45" s="308" t="n">
        <v>138.5513806762</v>
      </c>
      <c r="C45" s="308" t="n">
        <v>493.2175043697</v>
      </c>
    </row>
    <row r="46">
      <c r="A46" s="308" t="inlineStr">
        <is>
          <t>2024-03</t>
        </is>
      </c>
      <c r="B46" s="308" t="n">
        <v>150.9216856615</v>
      </c>
      <c r="C46" s="308" t="n">
        <v>509.3575022438</v>
      </c>
    </row>
    <row r="47">
      <c r="A47" s="308" t="inlineStr">
        <is>
          <t>2024-04</t>
        </is>
      </c>
      <c r="B47" s="308" t="n">
        <v>163.1928696132</v>
      </c>
      <c r="C47" s="308" t="n">
        <v>488.8203853716</v>
      </c>
    </row>
    <row r="48">
      <c r="A48" s="308" t="inlineStr">
        <is>
          <t>2024-05</t>
        </is>
      </c>
      <c r="B48" s="308" t="n">
        <v>172.4309499388</v>
      </c>
      <c r="C48" s="308" t="n">
        <v>513.5447759541</v>
      </c>
    </row>
    <row r="49">
      <c r="A49" s="308" t="inlineStr">
        <is>
          <t>2024-06</t>
        </is>
      </c>
      <c r="B49" s="308" t="n">
        <v>182.0136625881</v>
      </c>
      <c r="C49" s="308" t="n">
        <v>531.6650443674999</v>
      </c>
    </row>
    <row r="50">
      <c r="A50" s="308" t="inlineStr">
        <is>
          <t>2024-07</t>
        </is>
      </c>
      <c r="B50" s="308" t="n">
        <v>171.8224058289</v>
      </c>
      <c r="C50" s="308" t="n">
        <v>538.1030154865</v>
      </c>
    </row>
    <row r="51">
      <c r="A51" s="308" t="inlineStr">
        <is>
          <t>2024-08</t>
        </is>
      </c>
      <c r="B51" s="308" t="n">
        <v>163.8440509755</v>
      </c>
      <c r="C51" s="308" t="n">
        <v>550.6761093107</v>
      </c>
    </row>
    <row r="52">
      <c r="A52" s="308" t="inlineStr">
        <is>
          <t>2024-09</t>
        </is>
      </c>
      <c r="B52" s="308" t="n">
        <v>166.1299942479</v>
      </c>
      <c r="C52" s="308" t="n">
        <v>562.2453646183</v>
      </c>
    </row>
    <row r="53">
      <c r="A53" s="308" t="inlineStr">
        <is>
          <t>2024-10</t>
        </is>
      </c>
      <c r="B53" s="308" t="n">
        <v>171.595123552</v>
      </c>
      <c r="C53" s="308" t="n">
        <v>557.2281165235</v>
      </c>
    </row>
    <row r="54">
      <c r="A54" s="308" t="inlineStr">
        <is>
          <t>2024-11</t>
        </is>
      </c>
      <c r="B54" s="308" t="n">
        <v>169.4090718304</v>
      </c>
      <c r="C54" s="308" t="n">
        <v>590.4575858386</v>
      </c>
    </row>
    <row r="55">
      <c r="A55" s="308" t="inlineStr">
        <is>
          <t>2024-12</t>
        </is>
      </c>
      <c r="B55" s="308" t="n">
        <v>189.4462877026</v>
      </c>
      <c r="C55" s="308" t="n">
        <v>576.2277005713</v>
      </c>
    </row>
    <row r="56">
      <c r="A56" s="308" t="inlineStr">
        <is>
          <t>2025-01</t>
        </is>
      </c>
      <c r="B56" s="308" t="n">
        <v>204.5271831109</v>
      </c>
      <c r="C56" s="308" t="n">
        <v>591.7031032586</v>
      </c>
    </row>
    <row r="57">
      <c r="A57" s="308" t="inlineStr">
        <is>
          <t>2025-02</t>
        </is>
      </c>
      <c r="B57" s="308" t="n">
        <v>171.321359316</v>
      </c>
      <c r="C57" s="308" t="n">
        <v>584.1915354993</v>
      </c>
    </row>
    <row r="58">
      <c r="A58" s="308" t="inlineStr">
        <is>
          <t>2025-03</t>
        </is>
      </c>
      <c r="B58" s="308" t="n">
        <v>155.6000219277</v>
      </c>
      <c r="C58" s="308" t="n">
        <v>551.6398309809</v>
      </c>
    </row>
    <row r="59">
      <c r="A59" s="308" t="inlineStr">
        <is>
          <t>2025-04</t>
        </is>
      </c>
      <c r="B59" s="308" t="n">
        <v>160.2412310565</v>
      </c>
      <c r="C59" s="308" t="n">
        <v>546.8570261752</v>
      </c>
    </row>
    <row r="60">
      <c r="A60" s="308" t="inlineStr">
        <is>
          <t>2025-05</t>
        </is>
      </c>
      <c r="B60" s="308" t="n">
        <v>172.1530038418</v>
      </c>
      <c r="C60" s="308" t="n">
        <v>581.2241906037</v>
      </c>
    </row>
    <row r="61">
      <c r="A61" s="308" t="inlineStr">
        <is>
          <t>2025-06</t>
        </is>
      </c>
      <c r="B61" s="308" t="n">
        <v>176.883567465</v>
      </c>
      <c r="C61" s="308" t="n">
        <v>611.0954844284</v>
      </c>
    </row>
    <row r="62">
      <c r="A62" s="308" t="inlineStr">
        <is>
          <t>2025-07</t>
        </is>
      </c>
      <c r="B62" s="308" t="n">
        <v>192.309402003</v>
      </c>
      <c r="C62" s="308" t="n">
        <v>625.1699179372</v>
      </c>
    </row>
    <row r="63">
      <c r="A63" s="308" t="inlineStr">
        <is>
          <t>2025-08</t>
        </is>
      </c>
      <c r="B63" s="308" t="n">
        <v>212.9203910074</v>
      </c>
      <c r="C63" s="308" t="n">
        <v>637.9981261317999</v>
      </c>
    </row>
    <row r="64">
      <c r="A64" s="308" t="inlineStr">
        <is>
          <t>2025-09</t>
        </is>
      </c>
      <c r="B64" s="308" t="n">
        <v>243.0724841929</v>
      </c>
      <c r="C64" s="308" t="n">
        <v>660.7149899586</v>
      </c>
    </row>
    <row r="65">
      <c r="A65" s="308" t="inlineStr">
        <is>
          <t>2025-10</t>
        </is>
      </c>
      <c r="B65" s="308" t="n">
        <v>281.2674501961</v>
      </c>
      <c r="C65" s="308" t="n">
        <v>676.4647183211</v>
      </c>
    </row>
    <row r="66">
      <c r="A66" s="308" t="inlineStr">
        <is>
          <t>2025-11</t>
        </is>
      </c>
      <c r="B66" s="308" t="n">
        <v>319.4923573798</v>
      </c>
      <c r="C66" s="308" t="n">
        <v>677.7838076613</v>
      </c>
    </row>
    <row r="67">
      <c r="A67" s="308" t="inlineStr">
        <is>
          <t>2025-12</t>
        </is>
      </c>
      <c r="B67" s="308" t="n">
        <v>313.3939036985</v>
      </c>
      <c r="C67" s="308" t="n">
        <v>678.3067456674</v>
      </c>
    </row>
    <row r="68">
      <c r="A68" s="308" t="inlineStr">
        <is>
          <t>2026-01</t>
        </is>
      </c>
      <c r="B68" s="308" t="n">
        <v>338.091899997</v>
      </c>
      <c r="C68" s="308" t="n">
        <v>688.3034942507001</v>
      </c>
    </row>
    <row r="69">
      <c r="A69" s="308" t="inlineStr">
        <is>
          <t>2026-02</t>
        </is>
      </c>
      <c r="B69" s="308" t="n">
        <v>311.0269707739</v>
      </c>
      <c r="C69" s="308" t="n">
        <v>682.3551801683</v>
      </c>
    </row>
    <row r="70">
      <c r="A70" s="308" t="inlineStr">
        <is>
          <t>2026-03</t>
        </is>
      </c>
      <c r="B70" s="308" t="n">
        <v>286.6853709289</v>
      </c>
      <c r="C70" s="308" t="n">
        <v>648.6864324889</v>
      </c>
    </row>
    <row r="71">
      <c r="A71" s="308" t="inlineStr">
        <is>
          <t>2026-04</t>
        </is>
      </c>
      <c r="B71" s="308" t="n">
        <v>381.7074899693</v>
      </c>
      <c r="C71" s="308" t="n">
        <v>716.8327206883999</v>
      </c>
    </row>
    <row r="72">
      <c r="A72" s="308" t="inlineStr">
        <is>
          <t>2026-05</t>
        </is>
      </c>
      <c r="B72" s="308" t="n">
        <v>376.2008442403</v>
      </c>
      <c r="C72" s="308" t="n">
        <v>754.5565587988</v>
      </c>
    </row>
    <row r="73">
      <c r="A73" s="308" t="inlineStr">
        <is>
          <t>2026-06</t>
        </is>
      </c>
      <c r="B73" s="308" t="n">
        <v>353.33</v>
      </c>
      <c r="C73" s="308" t="n">
        <v>746.77</v>
      </c>
    </row>
    <row r="74">
      <c r="A74" s="308" t="inlineStr">
        <is>
          <t>2026-07</t>
        </is>
      </c>
      <c r="B74" s="308" t="n">
        <v>356.65</v>
      </c>
      <c r="C74" s="308" t="n">
        <v>747.03</v>
      </c>
    </row>
    <row r="75">
      <c r="A75" s="308" t="inlineStr">
        <is>
          <t>2026-08</t>
        </is>
      </c>
      <c r="B75" s="308" t="n">
        <v>341.28</v>
      </c>
      <c r="C75" s="308" t="n">
        <v>767.45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IF(ISNUMBER(Valuation!$B$15),Valuation!$B$15,Market!$B$37)</f>
        <v/>
      </c>
      <c r="I3" s="452">
        <f>IF(ISNUMBER(Valuation!$B$15),Valuation!$B$15,Market!$B$37)</f>
        <v/>
      </c>
      <c r="J3" s="452">
        <f>IF(ISNUMBER(Valuation!$B$15),Valuation!$B$15,Market!$B$37)</f>
        <v/>
      </c>
      <c r="K3" s="452">
        <f>IF(ISNUMBER(Valuation!$B$15),Valuation!$B$15,Market!$B$37)</f>
        <v/>
      </c>
      <c r="L3" s="452">
        <f>IF(ISNUMBER(Valuation!$B$15),Valuation!$B$15,Market!$B$37)</f>
        <v/>
      </c>
    </row>
    <row r="5">
      <c r="B5" s="452">
        <f>AVERAGE(Metrics!$B$6:$L$6)</f>
        <v/>
      </c>
      <c r="C5" s="452">
        <f>AVERAGE(Metrics!$B$6:$L$6)</f>
        <v/>
      </c>
      <c r="D5" s="452">
        <f>AVERAGE(Metrics!$B$6:$L$6)</f>
        <v/>
      </c>
      <c r="E5" s="452">
        <f>AVERAGE(Metrics!$B$6:$L$6)</f>
        <v/>
      </c>
      <c r="F5" s="452">
        <f>AVERAGE(Metrics!$B$6:$L$6)</f>
        <v/>
      </c>
      <c r="G5" s="452">
        <f>AVERAGE(Metrics!$B$6:$L$6)</f>
        <v/>
      </c>
      <c r="H5" s="452">
        <f>AVERAGE(Metrics!$B$6:$L$6)</f>
        <v/>
      </c>
      <c r="I5" s="452">
        <f>AVERAGE(Metrics!$B$6:$L$6)</f>
        <v/>
      </c>
      <c r="J5" s="452">
        <f>AVERAGE(Metrics!$B$6:$L$6)</f>
        <v/>
      </c>
      <c r="K5" s="452">
        <f>AVERAGE(Metrics!$B$6:$L$6)</f>
        <v/>
      </c>
      <c r="L5" s="452">
        <f>AVERAGE(Metrics!$B$6:$L$6)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B14" s="453">
        <f>AVERAGE(Metrics!$B$181:$L$181)</f>
        <v/>
      </c>
      <c r="C14" s="453">
        <f>AVERAGE(Metrics!$B$181:$L$181)</f>
        <v/>
      </c>
      <c r="D14" s="453">
        <f>AVERAGE(Metrics!$B$181:$L$181)</f>
        <v/>
      </c>
      <c r="E14" s="453">
        <f>AVERAGE(Metrics!$B$181:$L$181)</f>
        <v/>
      </c>
      <c r="F14" s="453">
        <f>AVERAGE(Metrics!$B$181:$L$181)</f>
        <v/>
      </c>
      <c r="G14" s="453">
        <f>AVERAGE(Metrics!$B$181:$L$181)</f>
        <v/>
      </c>
      <c r="H14" s="453">
        <f>AVERAGE(Metrics!$B$181:$L$181)</f>
        <v/>
      </c>
      <c r="I14" s="453">
        <f>AVERAGE(Metrics!$B$181:$L$181)</f>
        <v/>
      </c>
      <c r="J14" s="453">
        <f>AVERAGE(Metrics!$B$181:$L$181)</f>
        <v/>
      </c>
      <c r="K14" s="453">
        <f>AVERAGE(Metrics!$B$181:$L$181)</f>
        <v/>
      </c>
      <c r="L14" s="453">
        <f>AVERAGE(Metrics!$B$181:$L$181)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2026-09-24T11:44:25Z</dcterms:modified>
  <cp:lastModifiedBy>Francesco Laconi</cp:lastModifiedBy>
  <cp:revision>16</cp:revision>
</cp:coreProperties>
</file>