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Valuation" sheetId="3" state="visible" r:id="rId3"/>
    <sheet xmlns:r="http://schemas.openxmlformats.org/officeDocument/2006/relationships" name="Metrics" sheetId="4" state="visible" r:id="rId4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#,##0.0"/>
    <numFmt numFmtId="167" formatCode="0.0\x"/>
    <numFmt numFmtId="168" formatCode="0.0000"/>
  </numFmts>
  <fonts count="10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</fonts>
  <fills count="6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GD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General Dynamics Corp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Industrials / Aerospace &amp; Defense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December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>
        <v>31781</v>
      </c>
      <c r="C14" s="68" t="n">
        <v>30561</v>
      </c>
      <c r="D14" s="68" t="n">
        <v>30973</v>
      </c>
      <c r="E14" s="68" t="n">
        <v>36193</v>
      </c>
      <c r="F14" s="68" t="n">
        <v>39350</v>
      </c>
      <c r="G14" s="68" t="n">
        <v>37925</v>
      </c>
      <c r="H14" s="68" t="n">
        <v>38469</v>
      </c>
      <c r="I14" s="68" t="n">
        <v>39407</v>
      </c>
      <c r="J14" s="68" t="n">
        <v>42272</v>
      </c>
      <c r="K14" s="68" t="n">
        <v>47716</v>
      </c>
      <c r="L14" s="68" t="n">
        <v>52550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>
        <v>25549</v>
      </c>
      <c r="C15" s="69" t="n">
        <v>24896</v>
      </c>
      <c r="D15" s="69" t="n">
        <v>24731</v>
      </c>
      <c r="E15" s="69" t="n">
        <v>29536</v>
      </c>
      <c r="F15" s="69" t="n">
        <v>32363</v>
      </c>
      <c r="G15" s="69" t="n">
        <v>31600</v>
      </c>
      <c r="H15" s="69" t="n">
        <v>32061</v>
      </c>
      <c r="I15" s="69" t="n">
        <v>32785</v>
      </c>
      <c r="J15" s="69" t="n">
        <v>35600</v>
      </c>
      <c r="K15" s="69" t="n">
        <v>40352</v>
      </c>
      <c r="L15" s="69" t="n">
        <v>44599</v>
      </c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>
        <v>6232</v>
      </c>
      <c r="C16" s="70" t="n">
        <v>5665</v>
      </c>
      <c r="D16" s="70" t="n">
        <v>6242</v>
      </c>
      <c r="E16" s="70" t="n">
        <v>6657</v>
      </c>
      <c r="F16" s="70" t="n">
        <v>6987</v>
      </c>
      <c r="G16" s="70" t="n">
        <v>6325</v>
      </c>
      <c r="H16" s="70" t="n">
        <v>6408</v>
      </c>
      <c r="I16" s="70" t="n">
        <v>6622</v>
      </c>
      <c r="J16" s="70" t="n">
        <v>6672</v>
      </c>
      <c r="K16" s="70" t="n">
        <v>7364</v>
      </c>
      <c r="L16" s="70" t="n">
        <v>7951</v>
      </c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>
        <v>1738</v>
      </c>
      <c r="C17" s="69" t="n">
        <v>1921</v>
      </c>
      <c r="D17" s="69" t="n">
        <v>2006</v>
      </c>
      <c r="E17" s="69" t="n">
        <v>2263</v>
      </c>
      <c r="F17" s="69" t="n">
        <v>2417</v>
      </c>
      <c r="G17" s="69" t="n">
        <v>2192</v>
      </c>
      <c r="H17" s="69" t="n">
        <v>2245</v>
      </c>
      <c r="I17" s="69" t="n">
        <v>2411</v>
      </c>
      <c r="J17" s="69" t="n">
        <v>2427</v>
      </c>
      <c r="K17" s="69" t="n">
        <v>2568</v>
      </c>
      <c r="L17" s="69" t="n">
        <v>2595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>
        <v>1738</v>
      </c>
      <c r="C19" s="71" t="n">
        <v>1921</v>
      </c>
      <c r="D19" s="71" t="n">
        <v>2006</v>
      </c>
      <c r="E19" s="71" t="n">
        <v>2263</v>
      </c>
      <c r="F19" s="71" t="n">
        <v>2417</v>
      </c>
      <c r="G19" s="71" t="n">
        <v>2192</v>
      </c>
      <c r="H19" s="71" t="n">
        <v>2245</v>
      </c>
      <c r="I19" s="71" t="n">
        <v>2411</v>
      </c>
      <c r="J19" s="71" t="n">
        <v>2427</v>
      </c>
      <c r="K19" s="71" t="n">
        <v>2568</v>
      </c>
      <c r="L19" s="71" t="n">
        <v>2595</v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>
        <v>4776</v>
      </c>
      <c r="C20" s="68" t="n">
        <v>4197</v>
      </c>
      <c r="D20" s="68" t="n">
        <v>4677</v>
      </c>
      <c r="E20" s="68" t="n">
        <v>5157</v>
      </c>
      <c r="F20" s="68" t="n">
        <v>5399</v>
      </c>
      <c r="G20" s="68" t="n">
        <v>5011</v>
      </c>
      <c r="H20" s="68" t="n">
        <v>5053</v>
      </c>
      <c r="I20" s="68" t="n">
        <v>5095</v>
      </c>
      <c r="J20" s="68" t="n">
        <v>5108</v>
      </c>
      <c r="K20" s="68" t="n">
        <v>5682</v>
      </c>
      <c r="L20" s="68" t="n">
        <v>6280</v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>
        <v>481</v>
      </c>
      <c r="C21" s="69" t="n">
        <v>453</v>
      </c>
      <c r="D21" s="69" t="n">
        <v>441</v>
      </c>
      <c r="E21" s="69" t="n">
        <v>763</v>
      </c>
      <c r="F21" s="69" t="n">
        <v>829</v>
      </c>
      <c r="G21" s="69" t="n">
        <v>878</v>
      </c>
      <c r="H21" s="69" t="n">
        <v>890</v>
      </c>
      <c r="I21" s="69" t="n">
        <v>884</v>
      </c>
      <c r="J21" s="69" t="n">
        <v>863</v>
      </c>
      <c r="K21" s="69" t="n">
        <v>886</v>
      </c>
      <c r="L21" s="69" t="n">
        <v>924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>
        <v>4494</v>
      </c>
      <c r="C22" s="70" t="n">
        <v>3744</v>
      </c>
      <c r="D22" s="70" t="n">
        <v>4236</v>
      </c>
      <c r="E22" s="70" t="n">
        <v>4394</v>
      </c>
      <c r="F22" s="70" t="n">
        <v>4570</v>
      </c>
      <c r="G22" s="70" t="n">
        <v>4133</v>
      </c>
      <c r="H22" s="70" t="n">
        <v>4163</v>
      </c>
      <c r="I22" s="70" t="n">
        <v>4211</v>
      </c>
      <c r="J22" s="70" t="n">
        <v>4245</v>
      </c>
      <c r="K22" s="70" t="n">
        <v>4796</v>
      </c>
      <c r="L22" s="70" t="n">
        <v>5356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>
        <v>93</v>
      </c>
      <c r="C23" s="69" t="n">
        <v>91</v>
      </c>
      <c r="D23" s="69" t="n">
        <v>103</v>
      </c>
      <c r="E23" s="69" t="n">
        <v>356</v>
      </c>
      <c r="F23" s="69" t="n">
        <v>460</v>
      </c>
      <c r="G23" s="69" t="n">
        <v>477</v>
      </c>
      <c r="H23" s="69" t="n">
        <v>424</v>
      </c>
      <c r="I23" s="69" t="n">
        <v>364</v>
      </c>
      <c r="J23" s="69" t="n">
        <v>343</v>
      </c>
      <c r="K23" s="69" t="n">
        <v>324</v>
      </c>
      <c r="L23" s="69" t="n">
        <v>314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>
        <v>4227</v>
      </c>
      <c r="C24" s="70" t="n">
        <v>3556</v>
      </c>
      <c r="D24" s="70" t="n">
        <v>3098</v>
      </c>
      <c r="E24" s="70" t="n">
        <v>4083</v>
      </c>
      <c r="F24" s="70" t="n">
        <v>4202</v>
      </c>
      <c r="G24" s="70" t="n">
        <v>3738</v>
      </c>
      <c r="H24" s="70" t="n">
        <v>3873</v>
      </c>
      <c r="I24" s="70" t="n">
        <v>4036</v>
      </c>
      <c r="J24" s="70" t="n">
        <v>3984</v>
      </c>
      <c r="K24" s="70" t="n">
        <v>4540</v>
      </c>
      <c r="L24" s="70" t="n">
        <v>5103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>
        <v>1188</v>
      </c>
      <c r="C25" s="69" t="n">
        <v>877</v>
      </c>
      <c r="D25" s="69" t="n">
        <v>186</v>
      </c>
      <c r="E25" s="69" t="n">
        <v>725</v>
      </c>
      <c r="F25" s="69" t="n">
        <v>718</v>
      </c>
      <c r="G25" s="69" t="n">
        <v>571</v>
      </c>
      <c r="H25" s="69" t="n">
        <v>616</v>
      </c>
      <c r="I25" s="69" t="n">
        <v>646</v>
      </c>
      <c r="J25" s="69" t="n">
        <v>669</v>
      </c>
      <c r="K25" s="69" t="n">
        <v>758</v>
      </c>
      <c r="L25" s="69" t="n">
        <v>893</v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>
        <v>3036</v>
      </c>
      <c r="C26" s="68" t="n">
        <v>2572</v>
      </c>
      <c r="D26" s="68" t="n">
        <v>2912</v>
      </c>
      <c r="E26" s="68" t="n">
        <v>3345</v>
      </c>
      <c r="F26" s="68" t="n">
        <v>3484</v>
      </c>
      <c r="G26" s="68" t="n">
        <v>3167</v>
      </c>
      <c r="H26" s="68" t="n">
        <v>3257</v>
      </c>
      <c r="I26" s="68" t="n">
        <v>3390</v>
      </c>
      <c r="J26" s="68" t="n">
        <v>3315</v>
      </c>
      <c r="K26" s="68" t="n">
        <v>3782</v>
      </c>
      <c r="L26" s="68" t="n">
        <v>4210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>
        <v>9.289999999999999</v>
      </c>
      <c r="C27" s="72" t="n">
        <v>8.640000000000001</v>
      </c>
      <c r="D27" s="72" t="n">
        <v>9.56</v>
      </c>
      <c r="E27" s="72" t="n">
        <v>11.18</v>
      </c>
      <c r="F27" s="72" t="n">
        <v>11.98</v>
      </c>
      <c r="G27" s="72" t="n">
        <v>11</v>
      </c>
      <c r="H27" s="72" t="n">
        <v>11.55</v>
      </c>
      <c r="I27" s="72" t="n">
        <v>12.19</v>
      </c>
      <c r="J27" s="72" t="n">
        <v>12.02</v>
      </c>
      <c r="K27" s="72" t="n">
        <v>13.63</v>
      </c>
      <c r="L27" s="72" t="n">
        <v>15.45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>
        <v>327</v>
      </c>
      <c r="C28" s="75" t="n">
        <v>310</v>
      </c>
      <c r="D28" s="75" t="n">
        <v>305</v>
      </c>
      <c r="E28" s="75" t="n">
        <v>299</v>
      </c>
      <c r="F28" s="75" t="n">
        <v>291</v>
      </c>
      <c r="G28" s="75" t="n">
        <v>288</v>
      </c>
      <c r="H28" s="75" t="n">
        <v>282</v>
      </c>
      <c r="I28" s="75" t="n">
        <v>278</v>
      </c>
      <c r="J28" s="75" t="n">
        <v>276</v>
      </c>
      <c r="K28" s="75" t="n">
        <v>277</v>
      </c>
      <c r="L28" s="75" t="n">
        <v>273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</row>
    <row r="32" ht="15" customHeight="1" s="74">
      <c r="A32" s="15" t="inlineStr">
        <is>
          <t>Total Cash &amp; Equivalents</t>
        </is>
      </c>
      <c r="B32" s="68" t="n">
        <v>2785</v>
      </c>
      <c r="C32" s="68" t="n">
        <v>2334</v>
      </c>
      <c r="D32" s="68" t="n">
        <v>2983</v>
      </c>
      <c r="E32" s="68" t="n">
        <v>963</v>
      </c>
      <c r="F32" s="68" t="n">
        <v>902</v>
      </c>
      <c r="G32" s="68" t="n">
        <v>2824</v>
      </c>
      <c r="H32" s="68" t="n">
        <v>1603</v>
      </c>
      <c r="I32" s="68" t="n">
        <v>1242</v>
      </c>
      <c r="J32" s="68" t="n">
        <v>1913</v>
      </c>
      <c r="K32" s="68" t="n">
        <v>1697</v>
      </c>
      <c r="L32" s="68" t="n">
        <v>2333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>
        <v>501</v>
      </c>
      <c r="C33" s="69" t="n">
        <v>900</v>
      </c>
      <c r="D33" s="69" t="n">
        <v>0</v>
      </c>
      <c r="E33" s="69" t="n">
        <v>973</v>
      </c>
      <c r="F33" s="69" t="n">
        <v>2920</v>
      </c>
      <c r="G33" s="69" t="n">
        <v>3003</v>
      </c>
      <c r="H33" s="69" t="n"/>
      <c r="I33" s="69" t="n">
        <v>1253</v>
      </c>
      <c r="J33" s="69" t="n">
        <v>507</v>
      </c>
      <c r="K33" s="69" t="n">
        <v>1502</v>
      </c>
      <c r="L33" s="69" t="n">
        <v>1006</v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>
        <v>2898</v>
      </c>
      <c r="C34" s="68" t="n">
        <v>2988</v>
      </c>
      <c r="D34" s="68" t="n">
        <v>3980</v>
      </c>
      <c r="E34" s="68" t="n">
        <v>11444</v>
      </c>
      <c r="F34" s="68" t="n">
        <v>9010</v>
      </c>
      <c r="G34" s="68" t="n">
        <v>9995</v>
      </c>
      <c r="H34" s="68" t="n">
        <v>10490</v>
      </c>
      <c r="I34" s="68" t="n">
        <v>9243</v>
      </c>
      <c r="J34" s="68" t="n">
        <v>8754</v>
      </c>
      <c r="K34" s="68" t="n">
        <v>7260</v>
      </c>
      <c r="L34" s="68" t="n">
        <v>7007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>
        <f>B33+B34</f>
        <v/>
      </c>
      <c r="C35" s="71">
        <f>C33+C34</f>
        <v/>
      </c>
      <c r="D35" s="71">
        <f>D33+D34</f>
        <v/>
      </c>
      <c r="E35" s="71">
        <f>E33+E34</f>
        <v/>
      </c>
      <c r="F35" s="71">
        <f>F33+F34</f>
        <v/>
      </c>
      <c r="G35" s="71">
        <f>G33+G34</f>
        <v/>
      </c>
      <c r="H35" s="71">
        <f>H33+H34</f>
        <v/>
      </c>
      <c r="I35" s="71">
        <f>I33+I34</f>
        <v/>
      </c>
      <c r="J35" s="71">
        <f>J33+J34</f>
        <v/>
      </c>
      <c r="K35" s="71">
        <f>K33+K34</f>
        <v/>
      </c>
      <c r="L35" s="71">
        <f>L33+L34</f>
        <v/>
      </c>
      <c r="N35" s="71">
        <f>N33+N34</f>
        <v/>
      </c>
      <c r="O35" s="71">
        <f>O33+O34</f>
        <v/>
      </c>
      <c r="P35" s="71">
        <f>P33+P34</f>
        <v/>
      </c>
      <c r="Q35" s="71">
        <f>Q33+Q34</f>
        <v/>
      </c>
      <c r="R35" s="71">
        <f>R33+R34</f>
        <v/>
      </c>
      <c r="S35" s="71">
        <f>S33+S34</f>
        <v/>
      </c>
      <c r="T35" s="71">
        <f>T33+T34</f>
        <v/>
      </c>
      <c r="U35" s="71">
        <f>U33+U34</f>
        <v/>
      </c>
    </row>
    <row r="36" ht="15" customHeight="1" s="74">
      <c r="A36" s="15" t="inlineStr">
        <is>
          <t>Net Debt</t>
        </is>
      </c>
      <c r="B36" s="70">
        <f>B35-B32</f>
        <v/>
      </c>
      <c r="C36" s="70">
        <f>C35-C32</f>
        <v/>
      </c>
      <c r="D36" s="70">
        <f>D35-D32</f>
        <v/>
      </c>
      <c r="E36" s="70">
        <f>E35-E32</f>
        <v/>
      </c>
      <c r="F36" s="70">
        <f>F35-F32</f>
        <v/>
      </c>
      <c r="G36" s="70">
        <f>G35-G32</f>
        <v/>
      </c>
      <c r="H36" s="70">
        <f>H35-H32</f>
        <v/>
      </c>
      <c r="I36" s="70">
        <f>I35-I32</f>
        <v/>
      </c>
      <c r="J36" s="70">
        <f>J35-J32</f>
        <v/>
      </c>
      <c r="K36" s="70">
        <f>K35-K32</f>
        <v/>
      </c>
      <c r="L36" s="70">
        <f>L35-L32</f>
        <v/>
      </c>
      <c r="N36" s="70">
        <f>N35-N32</f>
        <v/>
      </c>
      <c r="O36" s="70">
        <f>O35-O32</f>
        <v/>
      </c>
      <c r="P36" s="70">
        <f>P35-P32</f>
        <v/>
      </c>
      <c r="Q36" s="70">
        <f>Q35-Q32</f>
        <v/>
      </c>
      <c r="R36" s="70">
        <f>R35-R32</f>
        <v/>
      </c>
      <c r="S36" s="70">
        <f>S35-S32</f>
        <v/>
      </c>
      <c r="T36" s="70">
        <f>T35-T32</f>
        <v/>
      </c>
      <c r="U36" s="70">
        <f>U35-U32</f>
        <v/>
      </c>
    </row>
    <row r="37" ht="15" customHeight="1" s="74">
      <c r="A37" s="17" t="inlineStr">
        <is>
          <t>Total Current Assets</t>
        </is>
      </c>
      <c r="B37" s="69" t="n">
        <v>14571</v>
      </c>
      <c r="C37" s="69" t="n">
        <v>16534</v>
      </c>
      <c r="D37" s="69" t="n">
        <v>18328</v>
      </c>
      <c r="E37" s="69" t="n">
        <v>18189</v>
      </c>
      <c r="F37" s="69" t="n">
        <v>20288</v>
      </c>
      <c r="G37" s="69" t="n">
        <v>21543</v>
      </c>
      <c r="H37" s="69" t="n">
        <v>19987</v>
      </c>
      <c r="I37" s="69" t="n">
        <v>21063</v>
      </c>
      <c r="J37" s="69" t="n">
        <v>23615</v>
      </c>
      <c r="K37" s="69" t="n">
        <v>24386</v>
      </c>
      <c r="L37" s="69" t="n">
        <v>24248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>
        <v>12445</v>
      </c>
      <c r="C38" s="68" t="n">
        <v>13450</v>
      </c>
      <c r="D38" s="68" t="n">
        <v>13099</v>
      </c>
      <c r="E38" s="68" t="n">
        <v>14739</v>
      </c>
      <c r="F38" s="68" t="n">
        <v>16801</v>
      </c>
      <c r="G38" s="68" t="n">
        <v>15964</v>
      </c>
      <c r="H38" s="68" t="n">
        <v>13978</v>
      </c>
      <c r="I38" s="68" t="n">
        <v>15341</v>
      </c>
      <c r="J38" s="68" t="n">
        <v>16432</v>
      </c>
      <c r="K38" s="68" t="n">
        <v>17824</v>
      </c>
      <c r="L38" s="68" t="n">
        <v>16796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>
        <v>31997</v>
      </c>
      <c r="C39" s="69" t="n">
        <v>33172</v>
      </c>
      <c r="D39" s="69" t="n">
        <v>35046</v>
      </c>
      <c r="E39" s="69" t="n">
        <v>45408</v>
      </c>
      <c r="F39" s="69" t="n">
        <v>49349</v>
      </c>
      <c r="G39" s="69" t="n">
        <v>51308</v>
      </c>
      <c r="H39" s="69" t="n">
        <v>50073</v>
      </c>
      <c r="I39" s="69" t="n">
        <v>51585</v>
      </c>
      <c r="J39" s="69" t="n">
        <v>54810</v>
      </c>
      <c r="K39" s="69" t="n">
        <v>55880</v>
      </c>
      <c r="L39" s="69" t="n">
        <v>57249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>
        <v>21259</v>
      </c>
      <c r="C40" s="68" t="n">
        <v>22871</v>
      </c>
      <c r="D40" s="68" t="n">
        <v>23611</v>
      </c>
      <c r="E40" s="68" t="n">
        <v>33676</v>
      </c>
      <c r="F40" s="68" t="n">
        <v>35371</v>
      </c>
      <c r="G40" s="68" t="n">
        <v>35647</v>
      </c>
      <c r="H40" s="68" t="n">
        <v>32432</v>
      </c>
      <c r="I40" s="68" t="n">
        <v>33017</v>
      </c>
      <c r="J40" s="68" t="n">
        <v>33511</v>
      </c>
      <c r="K40" s="68" t="n">
        <v>33817</v>
      </c>
      <c r="L40" s="68" t="n">
        <v>31627</v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>
        <v>10440</v>
      </c>
      <c r="C41" s="69" t="n">
        <v>10301</v>
      </c>
      <c r="D41" s="69" t="n">
        <v>11435</v>
      </c>
      <c r="E41" s="69" t="n">
        <v>11732</v>
      </c>
      <c r="F41" s="69" t="n">
        <v>13577</v>
      </c>
      <c r="G41" s="69" t="n">
        <v>15661</v>
      </c>
      <c r="H41" s="69" t="n">
        <v>17641</v>
      </c>
      <c r="I41" s="69" t="n">
        <v>18568</v>
      </c>
      <c r="J41" s="69" t="n">
        <v>21299</v>
      </c>
      <c r="K41" s="69" t="n">
        <v>22063</v>
      </c>
      <c r="L41" s="69" t="n">
        <v>25622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>
        <v>0</v>
      </c>
      <c r="C42" s="68" t="n">
        <v>0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>
        <v>12206</v>
      </c>
      <c r="C43" s="69" t="n">
        <v>12123</v>
      </c>
      <c r="D43" s="69" t="n">
        <v>12616</v>
      </c>
      <c r="E43" s="69" t="n">
        <v>22179</v>
      </c>
      <c r="F43" s="69" t="n">
        <v>21992</v>
      </c>
      <c r="G43" s="69" t="n">
        <v>22170</v>
      </c>
      <c r="H43" s="69" t="n">
        <v>22076</v>
      </c>
      <c r="I43" s="69" t="n">
        <v>22158</v>
      </c>
      <c r="J43" s="69" t="n">
        <v>22242</v>
      </c>
      <c r="K43" s="69" t="n">
        <v>22076</v>
      </c>
      <c r="L43" s="69" t="n">
        <v>22384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>
        <v>3466</v>
      </c>
      <c r="C44" s="68" t="n">
        <v>3477</v>
      </c>
      <c r="D44" s="68" t="n">
        <v>3517</v>
      </c>
      <c r="E44" s="68" t="n">
        <v>3978</v>
      </c>
      <c r="F44" s="68" t="n">
        <v>4475</v>
      </c>
      <c r="G44" s="68" t="n">
        <v>5100</v>
      </c>
      <c r="H44" s="68" t="n">
        <v>5417</v>
      </c>
      <c r="I44" s="68" t="n">
        <v>5900</v>
      </c>
      <c r="J44" s="68" t="n">
        <v>6198</v>
      </c>
      <c r="K44" s="68" t="n">
        <v>6467</v>
      </c>
      <c r="L44" s="68" t="n">
        <v>7525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>
        <v>7803</v>
      </c>
      <c r="C45" s="69" t="n">
        <v>7611</v>
      </c>
      <c r="D45" s="69" t="n">
        <v>8857</v>
      </c>
      <c r="E45" s="69" t="n">
        <v>10335</v>
      </c>
      <c r="F45" s="69" t="n">
        <v>11401</v>
      </c>
      <c r="G45" s="69" t="n">
        <v>11185</v>
      </c>
      <c r="H45" s="69" t="n">
        <v>11539</v>
      </c>
      <c r="I45" s="69" t="n">
        <v>11803</v>
      </c>
      <c r="J45" s="69" t="n">
        <v>11001</v>
      </c>
      <c r="K45" s="69" t="n">
        <v>11225</v>
      </c>
      <c r="L45" s="69" t="n">
        <v>10786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>
        <v>1964</v>
      </c>
      <c r="C46" s="68" t="n">
        <v>2538</v>
      </c>
      <c r="D46" s="68" t="n">
        <v>3207</v>
      </c>
      <c r="E46" s="68" t="n">
        <v>3179</v>
      </c>
      <c r="F46" s="68" t="n">
        <v>3162</v>
      </c>
      <c r="G46" s="68" t="n">
        <v>2952</v>
      </c>
      <c r="H46" s="68" t="n">
        <v>3167</v>
      </c>
      <c r="I46" s="68" t="n">
        <v>3398</v>
      </c>
      <c r="J46" s="68" t="n">
        <v>3095</v>
      </c>
      <c r="K46" s="68" t="n">
        <v>3344</v>
      </c>
      <c r="L46" s="68" t="n">
        <v>2678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>
        <v>3366</v>
      </c>
      <c r="C47" s="69" t="n">
        <v>5118</v>
      </c>
      <c r="D47" s="69" t="n">
        <v>5303</v>
      </c>
      <c r="E47" s="69" t="n">
        <v>5977</v>
      </c>
      <c r="F47" s="69" t="n">
        <v>6306</v>
      </c>
      <c r="G47" s="69" t="n">
        <v>5745</v>
      </c>
      <c r="H47" s="69" t="n">
        <v>5340</v>
      </c>
      <c r="I47" s="69" t="n">
        <v>6322</v>
      </c>
      <c r="J47" s="69" t="n">
        <v>8578</v>
      </c>
      <c r="K47" s="69" t="n">
        <v>9724</v>
      </c>
      <c r="L47" s="69" t="n">
        <v>9232</v>
      </c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>
        <v>22903</v>
      </c>
      <c r="C48" s="10" t="n">
        <v>24543</v>
      </c>
      <c r="D48" s="10" t="n">
        <v>26444</v>
      </c>
      <c r="E48" s="10" t="n">
        <v>29326</v>
      </c>
      <c r="F48" s="10" t="n">
        <v>31633</v>
      </c>
      <c r="G48" s="10" t="n">
        <v>33498</v>
      </c>
      <c r="H48" s="10" t="n">
        <v>35420</v>
      </c>
      <c r="I48" s="10" t="n">
        <v>37403</v>
      </c>
      <c r="J48" s="10" t="n">
        <v>39270</v>
      </c>
      <c r="K48" s="10" t="n">
        <v>41487</v>
      </c>
      <c r="L48" s="10" t="n">
        <v>44080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</row>
    <row r="51" ht="15" customHeight="1" s="74">
      <c r="A51" s="17" t="inlineStr">
        <is>
          <t>Cash from Operations</t>
        </is>
      </c>
      <c r="B51" s="69" t="n">
        <v>2607</v>
      </c>
      <c r="C51" s="69" t="n">
        <v>2163</v>
      </c>
      <c r="D51" s="69" t="n">
        <v>3876</v>
      </c>
      <c r="E51" s="69" t="n">
        <v>3148</v>
      </c>
      <c r="F51" s="69" t="n">
        <v>2981</v>
      </c>
      <c r="G51" s="69" t="n">
        <v>3858</v>
      </c>
      <c r="H51" s="69" t="n">
        <v>4271</v>
      </c>
      <c r="I51" s="69" t="n">
        <v>4579</v>
      </c>
      <c r="J51" s="69" t="n">
        <v>4710</v>
      </c>
      <c r="K51" s="69" t="n">
        <v>4112</v>
      </c>
      <c r="L51" s="69" t="n">
        <v>5120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>
        <v>569</v>
      </c>
      <c r="C52" s="68" t="n">
        <v>392</v>
      </c>
      <c r="D52" s="68" t="n">
        <v>428</v>
      </c>
      <c r="E52" s="68" t="n">
        <v>690</v>
      </c>
      <c r="F52" s="68" t="n">
        <v>987</v>
      </c>
      <c r="G52" s="68" t="n">
        <v>967</v>
      </c>
      <c r="H52" s="68" t="n">
        <v>887</v>
      </c>
      <c r="I52" s="68" t="n">
        <v>1114</v>
      </c>
      <c r="J52" s="68" t="n">
        <v>904</v>
      </c>
      <c r="K52" s="68" t="n">
        <v>916</v>
      </c>
      <c r="L52" s="68" t="n">
        <v>1161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>
        <f>B51-ABS(B52)</f>
        <v/>
      </c>
      <c r="C53" s="71">
        <f>C51-ABS(C52)</f>
        <v/>
      </c>
      <c r="D53" s="71">
        <f>D51-ABS(D52)</f>
        <v/>
      </c>
      <c r="E53" s="71">
        <f>E51-ABS(E52)</f>
        <v/>
      </c>
      <c r="F53" s="71">
        <f>F51-ABS(F52)</f>
        <v/>
      </c>
      <c r="G53" s="71">
        <f>G51-ABS(G52)</f>
        <v/>
      </c>
      <c r="H53" s="71">
        <f>H51-ABS(H52)</f>
        <v/>
      </c>
      <c r="I53" s="71">
        <f>I51-ABS(I52)</f>
        <v/>
      </c>
      <c r="J53" s="71">
        <f>J51-ABS(J52)</f>
        <v/>
      </c>
      <c r="K53" s="71">
        <f>K51-ABS(K52)</f>
        <v/>
      </c>
      <c r="L53" s="71">
        <f>L51-ABS(L52)</f>
        <v/>
      </c>
      <c r="N53" s="71">
        <f>N51-ABS(N52)</f>
        <v/>
      </c>
      <c r="O53" s="71">
        <f>O51-ABS(O52)</f>
        <v/>
      </c>
      <c r="P53" s="71">
        <f>P51-ABS(P52)</f>
        <v/>
      </c>
      <c r="Q53" s="71">
        <f>Q51-ABS(Q52)</f>
        <v/>
      </c>
      <c r="R53" s="71">
        <f>R51-ABS(R52)</f>
        <v/>
      </c>
      <c r="S53" s="71">
        <f>S51-ABS(S52)</f>
        <v/>
      </c>
      <c r="T53" s="71">
        <f>T51-ABS(T52)</f>
        <v/>
      </c>
      <c r="U53" s="71">
        <f>U51-ABS(U52)</f>
        <v/>
      </c>
    </row>
    <row r="54" ht="15" customHeight="1" s="74">
      <c r="A54" s="15" t="inlineStr">
        <is>
          <t>Stock-Based Compensation</t>
        </is>
      </c>
      <c r="B54" s="68" t="n">
        <v>0</v>
      </c>
      <c r="C54" s="68" t="n">
        <v>95</v>
      </c>
      <c r="D54" s="68" t="n">
        <v>123</v>
      </c>
      <c r="E54" s="68" t="n">
        <v>140</v>
      </c>
      <c r="F54" s="68" t="n">
        <v>133</v>
      </c>
      <c r="G54" s="68" t="n">
        <v>128</v>
      </c>
      <c r="H54" s="68" t="n">
        <v>126</v>
      </c>
      <c r="I54" s="68" t="n">
        <v>165</v>
      </c>
      <c r="J54" s="68" t="n">
        <v>181</v>
      </c>
      <c r="K54" s="68" t="n">
        <v>183</v>
      </c>
      <c r="L54" s="68" t="n">
        <v>196</v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-873</v>
      </c>
      <c r="C55" s="69" t="n">
        <v>-911</v>
      </c>
      <c r="D55" s="69" t="n">
        <v>-986</v>
      </c>
      <c r="E55" s="69" t="n">
        <v>-1075</v>
      </c>
      <c r="F55" s="69" t="n">
        <v>-1152</v>
      </c>
      <c r="G55" s="69" t="n">
        <v>-1240</v>
      </c>
      <c r="H55" s="69" t="n">
        <v>-1315</v>
      </c>
      <c r="I55" s="69" t="n">
        <v>-1369</v>
      </c>
      <c r="J55" s="69" t="n">
        <v>-1428</v>
      </c>
      <c r="K55" s="69" t="n">
        <v>-1529</v>
      </c>
      <c r="L55" s="69" t="n">
        <v>-1593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/>
      <c r="C56" s="68" t="n">
        <v>-1996</v>
      </c>
      <c r="D56" s="68" t="n">
        <v>-1558</v>
      </c>
      <c r="E56" s="68" t="n">
        <v>-1769</v>
      </c>
      <c r="F56" s="68" t="n">
        <v>-231</v>
      </c>
      <c r="G56" s="68" t="n">
        <v>-587</v>
      </c>
      <c r="H56" s="68" t="n">
        <v>-1828</v>
      </c>
      <c r="I56" s="68" t="n">
        <v>-1229</v>
      </c>
      <c r="J56" s="68" t="n">
        <v>-434</v>
      </c>
      <c r="K56" s="68" t="n">
        <v>-1501</v>
      </c>
      <c r="L56" s="68" t="n">
        <v>-637</v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1B7A2B"/>
    <outlinePr summaryBelow="1" summaryRight="1"/>
    <pageSetUpPr/>
  </sheetPr>
  <dimension ref="A1:J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/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/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/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15" customHeight="1" s="74">
      <c r="A8" s="39" t="inlineStr">
        <is>
          <t>Company-Specific Risk Premium</t>
        </is>
      </c>
      <c r="B8" s="76" t="n"/>
      <c r="C8" s="10" t="n"/>
      <c r="D8" s="10" t="n"/>
      <c r="E8" s="10" t="n"/>
      <c r="F8" s="10" t="n"/>
      <c r="G8" s="10" t="n"/>
      <c r="H8" s="10" t="n"/>
      <c r="I8" s="10" t="n"/>
      <c r="J8" s="10" t="n"/>
    </row>
    <row r="9" ht="15" customHeight="1" s="74">
      <c r="A9" s="17" t="inlineStr">
        <is>
          <t>Cost of Equity (Ke)</t>
        </is>
      </c>
      <c r="B9" s="79">
        <f>B4+B6*B5+B7+B8</f>
        <v/>
      </c>
      <c r="C9" s="2" t="n"/>
      <c r="D9" s="2" t="n"/>
      <c r="E9" s="2" t="n"/>
      <c r="F9" s="2" t="n"/>
      <c r="G9" s="2" t="n"/>
      <c r="H9" s="2" t="n"/>
      <c r="I9" s="2" t="n"/>
      <c r="J9" s="2" t="n"/>
    </row>
    <row r="10" ht="15" customHeight="1" s="74">
      <c r="A10" s="39" t="inlineStr">
        <is>
          <t>Pre-tax Cost of Debt (Kd)</t>
        </is>
      </c>
      <c r="B10" s="76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 ht="15" customHeight="1" s="74">
      <c r="A11" s="39" t="inlineStr">
        <is>
          <t>Marginal Tax Rate</t>
        </is>
      </c>
      <c r="B11" s="77" t="n"/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15" customHeight="1" s="74">
      <c r="A12" s="15" t="inlineStr">
        <is>
          <t>After-tax Cost of Debt</t>
        </is>
      </c>
      <c r="B12" s="80">
        <f>B10*(1-B11)</f>
        <v/>
      </c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 ht="15" customHeight="1" s="74">
      <c r="A13" s="39" t="inlineStr">
        <is>
          <t>Debt / Total Capital (market)</t>
        </is>
      </c>
      <c r="B13" s="77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15" customHeight="1" s="74">
      <c r="A14" s="15" t="inlineStr">
        <is>
          <t>Equity / Total Capital (market)</t>
        </is>
      </c>
      <c r="B14" s="80">
        <f>1-B13</f>
        <v/>
      </c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 ht="15" customHeight="1" s="74">
      <c r="A15" s="17" t="inlineStr">
        <is>
          <t>WACC</t>
        </is>
      </c>
      <c r="B15" s="79">
        <f>B9*B14+B12*B13</f>
        <v/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/>
      <c r="C20" s="76" t="n"/>
      <c r="D20" s="76" t="n"/>
      <c r="E20" s="76" t="n"/>
      <c r="F20" s="76" t="n"/>
      <c r="G20" s="10" t="n"/>
      <c r="H20" s="10" t="n"/>
      <c r="I20" s="10" t="n"/>
      <c r="J20" s="10" t="n"/>
    </row>
    <row r="21" ht="15" customHeight="1" s="74">
      <c r="A21" s="39" t="inlineStr">
        <is>
          <t>EBITDA Margin</t>
        </is>
      </c>
      <c r="B21" s="77" t="n"/>
      <c r="C21" s="77" t="n"/>
      <c r="D21" s="77" t="n"/>
      <c r="E21" s="77" t="n"/>
      <c r="F21" s="77" t="n"/>
      <c r="G21" s="2" t="n"/>
      <c r="H21" s="2" t="n"/>
      <c r="I21" s="2" t="n"/>
      <c r="J21" s="2" t="n"/>
    </row>
    <row r="22" ht="15" customHeight="1" s="74">
      <c r="A22" s="39" t="inlineStr">
        <is>
          <t>D&amp;A / Revenue</t>
        </is>
      </c>
      <c r="B22" s="76" t="n"/>
      <c r="C22" s="76" t="n"/>
      <c r="D22" s="76" t="n"/>
      <c r="E22" s="76" t="n"/>
      <c r="F22" s="76" t="n"/>
      <c r="G22" s="10" t="n"/>
      <c r="H22" s="10" t="n"/>
      <c r="I22" s="10" t="n"/>
      <c r="J22" s="10" t="n"/>
    </row>
    <row r="23" ht="15" customHeight="1" s="74">
      <c r="A23" s="39" t="inlineStr">
        <is>
          <t>CapEx / Revenue</t>
        </is>
      </c>
      <c r="B23" s="77" t="n"/>
      <c r="C23" s="77" t="n"/>
      <c r="D23" s="77" t="n"/>
      <c r="E23" s="77" t="n"/>
      <c r="F23" s="77" t="n"/>
      <c r="G23" s="2" t="n"/>
      <c r="H23" s="2" t="n"/>
      <c r="I23" s="2" t="n"/>
      <c r="J23" s="2" t="n"/>
    </row>
    <row r="24" ht="15" customHeight="1" s="74">
      <c r="A24" s="39" t="inlineStr">
        <is>
          <t>Change in NWC / Revenue</t>
        </is>
      </c>
      <c r="B24" s="76" t="n"/>
      <c r="C24" s="76" t="n"/>
      <c r="D24" s="76" t="n"/>
      <c r="E24" s="76" t="n"/>
      <c r="F24" s="76" t="n"/>
      <c r="G24" s="10" t="n"/>
      <c r="H24" s="10" t="n"/>
      <c r="I24" s="10" t="n"/>
      <c r="J24" s="10" t="n"/>
    </row>
    <row r="25" ht="15" customHeight="1" s="74">
      <c r="A25" s="39" t="inlineStr">
        <is>
          <t>Effective Tax Rate</t>
        </is>
      </c>
      <c r="B25" s="77" t="n"/>
      <c r="C25" s="77" t="n"/>
      <c r="D25" s="77" t="n"/>
      <c r="E25" s="77" t="n"/>
      <c r="F25" s="77" t="n"/>
      <c r="G25" s="2" t="n"/>
      <c r="H25" s="2" t="n"/>
      <c r="I25" s="2" t="n"/>
      <c r="J25" s="2" t="n"/>
    </row>
    <row r="26" ht="15" customHeight="1" s="74">
      <c r="A26" s="39" t="inlineStr">
        <is>
          <t>Terminal Growth Rate</t>
        </is>
      </c>
      <c r="B26" s="76" t="n"/>
      <c r="C26" s="76" t="n"/>
      <c r="D26" s="76" t="n"/>
      <c r="E26" s="76" t="n"/>
      <c r="F26" s="76" t="n"/>
      <c r="G26" s="76" t="n"/>
      <c r="H26" s="10" t="n"/>
      <c r="I26" s="10" t="n"/>
      <c r="J26" s="10" t="n"/>
    </row>
    <row r="27" ht="15" customHeight="1" s="74">
      <c r="A27" s="39" t="inlineStr">
        <is>
          <t>Exit EV/EBITDA Multiple</t>
        </is>
      </c>
      <c r="B27" s="46" t="n"/>
      <c r="C27" s="46" t="n"/>
      <c r="D27" s="46" t="n"/>
      <c r="E27" s="46" t="n"/>
      <c r="F27" s="46" t="n"/>
      <c r="G27" s="46" t="n"/>
      <c r="H27" s="2" t="n"/>
      <c r="I27" s="2" t="n"/>
      <c r="J27" s="2" t="n"/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>
        <f>Data!L14</f>
        <v/>
      </c>
      <c r="C30" s="10" t="n"/>
      <c r="D30" s="10" t="n"/>
      <c r="E30" s="10" t="n"/>
      <c r="F30" s="10" t="n"/>
      <c r="G30" s="10" t="n"/>
      <c r="H30" s="10" t="n"/>
      <c r="I30" s="10" t="n"/>
      <c r="J30" s="10" t="n"/>
    </row>
    <row r="31" ht="15" customHeight="1" s="74">
      <c r="A31" s="17" t="inlineStr">
        <is>
          <t>Projected Revenue</t>
        </is>
      </c>
      <c r="B31" s="48">
        <f>B30*(1+B20)</f>
        <v/>
      </c>
      <c r="C31" s="48">
        <f>B31*(1+C20)</f>
        <v/>
      </c>
      <c r="D31" s="48">
        <f>C31*(1+D20)</f>
        <v/>
      </c>
      <c r="E31" s="48">
        <f>D31*(1+E20)</f>
        <v/>
      </c>
      <c r="F31" s="48">
        <f>E31*(1+F20)</f>
        <v/>
      </c>
      <c r="G31" s="2" t="n"/>
      <c r="H31" s="2" t="n"/>
      <c r="I31" s="2" t="n"/>
      <c r="J31" s="2" t="n"/>
    </row>
    <row r="32" ht="15" customHeight="1" s="74">
      <c r="A32" s="15" t="inlineStr">
        <is>
          <t>Projected EBITDA</t>
        </is>
      </c>
      <c r="B32" s="23">
        <f>B31*B21</f>
        <v/>
      </c>
      <c r="C32" s="23">
        <f>C31*C21</f>
        <v/>
      </c>
      <c r="D32" s="23">
        <f>D31*D21</f>
        <v/>
      </c>
      <c r="E32" s="23">
        <f>E31*E21</f>
        <v/>
      </c>
      <c r="F32" s="23">
        <f>F31*F21</f>
        <v/>
      </c>
      <c r="G32" s="10" t="n"/>
      <c r="H32" s="10" t="n"/>
      <c r="I32" s="10" t="n"/>
      <c r="J32" s="10" t="n"/>
    </row>
    <row r="33" ht="15" customHeight="1" s="74">
      <c r="A33" s="17" t="inlineStr">
        <is>
          <t>Projected D&amp;A</t>
        </is>
      </c>
      <c r="B33" s="48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>
        <f>B32-B33</f>
        <v/>
      </c>
      <c r="C34" s="23">
        <f>C32-C33</f>
        <v/>
      </c>
      <c r="D34" s="23">
        <f>D32-D33</f>
        <v/>
      </c>
      <c r="E34" s="23">
        <f>E32-E33</f>
        <v/>
      </c>
      <c r="F34" s="23">
        <f>F32-F33</f>
        <v/>
      </c>
      <c r="G34" s="10" t="n"/>
      <c r="H34" s="10" t="n"/>
      <c r="I34" s="10" t="n"/>
      <c r="J34" s="10" t="n"/>
    </row>
    <row r="35" ht="15" customHeight="1" s="74">
      <c r="A35" s="17" t="inlineStr">
        <is>
          <t>Tax on EBIT</t>
        </is>
      </c>
      <c r="B35" s="48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>
        <f>B34-B35</f>
        <v/>
      </c>
      <c r="C36" s="47">
        <f>C34-C35</f>
        <v/>
      </c>
      <c r="D36" s="47">
        <f>D34-D35</f>
        <v/>
      </c>
      <c r="E36" s="47">
        <f>E34-E35</f>
        <v/>
      </c>
      <c r="F36" s="47">
        <f>F34-F35</f>
        <v/>
      </c>
      <c r="G36" s="10" t="n"/>
      <c r="H36" s="10" t="n"/>
      <c r="I36" s="10" t="n"/>
      <c r="J36" s="10" t="n"/>
    </row>
    <row r="37" ht="15" customHeight="1" s="74">
      <c r="A37" s="17" t="inlineStr">
        <is>
          <t>(+) D&amp;A</t>
        </is>
      </c>
      <c r="B37" s="48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>
        <f>B36+B37+B38+B39</f>
        <v/>
      </c>
      <c r="C40" s="47">
        <f>C36+C37+C38+C39</f>
        <v/>
      </c>
      <c r="D40" s="47">
        <f>D36+D37+D38+D39</f>
        <v/>
      </c>
      <c r="E40" s="47">
        <f>E36+E37+E38+E39</f>
        <v/>
      </c>
      <c r="F40" s="47">
        <f>F36+F37+F38+F39</f>
        <v/>
      </c>
      <c r="G40" s="10" t="n"/>
      <c r="H40" s="10" t="n"/>
      <c r="I40" s="10" t="n"/>
      <c r="J40" s="10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>
        <f>IFERROR(F40*(1+G26)/(B15-G26),"-")</f>
        <v/>
      </c>
      <c r="C43" s="2" t="n"/>
      <c r="D43" s="2" t="n"/>
      <c r="E43" s="2" t="n"/>
      <c r="F43" s="2" t="n"/>
      <c r="G43" s="2" t="n"/>
      <c r="H43" s="2" t="n"/>
      <c r="I43" s="2" t="n"/>
      <c r="J43" s="2" t="n"/>
    </row>
    <row r="44" ht="15" customHeight="1" s="74">
      <c r="A44" s="15" t="inlineStr">
        <is>
          <t>TV: Exit Multiple Method</t>
        </is>
      </c>
      <c r="B44" s="23">
        <f>IFERROR(F32*G27,"-")</f>
        <v/>
      </c>
      <c r="C44" s="10" t="n"/>
      <c r="D44" s="10" t="n"/>
      <c r="E44" s="10" t="n"/>
      <c r="F44" s="10" t="n"/>
      <c r="G44" s="10" t="n"/>
      <c r="H44" s="10" t="n"/>
      <c r="I44" s="10" t="n"/>
      <c r="J44" s="10" t="n"/>
    </row>
    <row r="45" ht="15" customHeight="1" s="74">
      <c r="A45" s="17" t="inlineStr">
        <is>
          <t>TV Divergence (%)</t>
        </is>
      </c>
      <c r="B45" s="81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>
        <f>IFERROR((B43+B44)/2,"-")</f>
        <v/>
      </c>
      <c r="C46" s="10" t="n"/>
      <c r="D46" s="10" t="n"/>
      <c r="E46" s="10" t="n"/>
      <c r="F46" s="10" t="n"/>
      <c r="G46" s="10" t="n"/>
      <c r="H46" s="10" t="n"/>
      <c r="I46" s="10" t="n"/>
      <c r="J46" s="10" t="n"/>
    </row>
    <row r="47" ht="15" customHeight="1" s="74">
      <c r="A47" s="17" t="inlineStr">
        <is>
          <t>Implied TV / EBITDA_5</t>
        </is>
      </c>
      <c r="B47" s="49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>
        <f>IFERROR(B54/B55,"-")</f>
        <v/>
      </c>
      <c r="C48" s="10" t="n"/>
      <c r="D48" s="10" t="n"/>
      <c r="E48" s="10" t="n"/>
      <c r="F48" s="10" t="n"/>
      <c r="G48" s="10" t="n"/>
      <c r="H48" s="10" t="n"/>
      <c r="I48" s="10" t="n"/>
      <c r="J48" s="10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>
        <f>IFERROR(B40*B51,"-")</f>
        <v/>
      </c>
      <c r="C52" s="23">
        <f>IFERROR(C40*C51,"-")</f>
        <v/>
      </c>
      <c r="D52" s="23">
        <f>IFERROR(D40*D51,"-")</f>
        <v/>
      </c>
      <c r="E52" s="23">
        <f>IFERROR(E40*E51,"-")</f>
        <v/>
      </c>
      <c r="F52" s="23">
        <f>IFERROR(F40*F51,"-")</f>
        <v/>
      </c>
      <c r="G52" s="10" t="n"/>
      <c r="H52" s="10" t="n"/>
      <c r="I52" s="10" t="n"/>
      <c r="J52" s="10" t="n"/>
    </row>
    <row r="53" ht="15" customHeight="1" s="74">
      <c r="A53" s="35" t="inlineStr">
        <is>
          <t>Sum of PV of UFCFs</t>
        </is>
      </c>
      <c r="B53" s="51">
        <f>IFERROR(SUM(B52:F52),"-")</f>
        <v/>
      </c>
      <c r="C53" s="2" t="n"/>
      <c r="D53" s="2" t="n"/>
      <c r="E53" s="2" t="n"/>
      <c r="F53" s="2" t="n"/>
      <c r="G53" s="2" t="n"/>
      <c r="H53" s="2" t="n"/>
      <c r="I53" s="2" t="n"/>
      <c r="J53" s="2" t="n"/>
    </row>
    <row r="54" ht="15" customHeight="1" s="74">
      <c r="A54" s="15" t="inlineStr">
        <is>
          <t>PV of Terminal Value</t>
        </is>
      </c>
      <c r="B54" s="23">
        <f>IFERROR(B46*F51,"-")</f>
        <v/>
      </c>
      <c r="C54" s="10" t="n"/>
      <c r="D54" s="10" t="n"/>
      <c r="E54" s="10" t="n"/>
      <c r="F54" s="10" t="n"/>
      <c r="G54" s="10" t="n"/>
      <c r="H54" s="10" t="n"/>
      <c r="I54" s="10" t="n"/>
      <c r="J54" s="10" t="n"/>
    </row>
    <row r="55" ht="15" customHeight="1" s="74">
      <c r="A55" s="35" t="inlineStr">
        <is>
          <t>Enterprise Value (EV)</t>
        </is>
      </c>
      <c r="B55" s="51">
        <f>IFERROR(B53+B54,"-")</f>
        <v/>
      </c>
      <c r="C55" s="2" t="n"/>
      <c r="D55" s="2" t="n"/>
      <c r="E55" s="2" t="n"/>
      <c r="F55" s="2" t="n"/>
      <c r="G55" s="2" t="n"/>
      <c r="H55" s="2" t="n"/>
      <c r="I55" s="2" t="n"/>
      <c r="J55" s="2" t="n"/>
    </row>
    <row r="56" ht="15" customHeight="1" s="74">
      <c r="A56" s="15" t="inlineStr">
        <is>
          <t>(-) Net Debt (latest)</t>
        </is>
      </c>
      <c r="B56" s="23">
        <f>Data!L36</f>
        <v/>
      </c>
      <c r="C56" s="10" t="n"/>
      <c r="D56" s="10" t="n"/>
      <c r="E56" s="10" t="n"/>
      <c r="F56" s="10" t="n"/>
      <c r="G56" s="10" t="n"/>
      <c r="H56" s="10" t="n"/>
      <c r="I56" s="10" t="n"/>
      <c r="J56" s="10" t="n"/>
    </row>
    <row r="57" ht="15" customHeight="1" s="74">
      <c r="A57" s="17" t="inlineStr">
        <is>
          <t>(-) Minority Interest</t>
        </is>
      </c>
      <c r="B57" s="48">
        <f>Data!L42</f>
        <v/>
      </c>
      <c r="C57" s="2" t="n"/>
      <c r="D57" s="2" t="n"/>
      <c r="E57" s="2" t="n"/>
      <c r="F57" s="2" t="n"/>
      <c r="G57" s="2" t="n"/>
      <c r="H57" s="2" t="n"/>
      <c r="I57" s="2" t="n"/>
      <c r="J57" s="2" t="n"/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>
        <f>IFERROR(B55-B56-B57+B58,"-")</f>
        <v/>
      </c>
      <c r="C59" s="2" t="n"/>
      <c r="D59" s="2" t="n"/>
      <c r="E59" s="2" t="n"/>
      <c r="F59" s="2" t="n"/>
      <c r="G59" s="2" t="n"/>
      <c r="H59" s="2" t="n"/>
      <c r="I59" s="2" t="n"/>
      <c r="J59" s="2" t="n"/>
    </row>
    <row r="60" ht="15" customHeight="1" s="74">
      <c r="A60" s="15" t="inlineStr">
        <is>
          <t>Diluted Shares Outstanding (M)</t>
        </is>
      </c>
      <c r="B60" s="83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>
        <f>IFERROR(B59/B60,"-")</f>
        <v/>
      </c>
      <c r="C61" s="2" t="n"/>
      <c r="D61" s="2" t="n"/>
      <c r="E61" s="2" t="n"/>
      <c r="F61" s="2" t="n"/>
      <c r="G61" s="2" t="n"/>
      <c r="H61" s="2" t="n"/>
      <c r="I61" s="2" t="n"/>
      <c r="J61" s="2" t="n"/>
    </row>
    <row r="62" ht="15" customHeight="1" s="74">
      <c r="A62" s="15" t="inlineStr">
        <is>
          <t>Upside / Downside vs Price</t>
        </is>
      </c>
      <c r="B62" s="84">
        <f>IFERROR(B61/Data!B8-1,"-")</f>
        <v/>
      </c>
      <c r="C62" s="10" t="n"/>
      <c r="D62" s="10" t="n"/>
      <c r="E62" s="10" t="n"/>
      <c r="F62" s="10" t="n"/>
      <c r="G62" s="10" t="n"/>
      <c r="H62" s="10" t="n"/>
      <c r="I62" s="10" t="n"/>
      <c r="J62" s="10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/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/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/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/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/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/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/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/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>
        <f>IFERROR((B87-B56-B57+B58)/B60,"-")</f>
        <v/>
      </c>
      <c r="C88" s="10" t="n"/>
      <c r="D88" s="10" t="n"/>
      <c r="E88" s="10" t="n"/>
      <c r="F88" s="10" t="n"/>
      <c r="G88" s="10" t="n"/>
      <c r="H88" s="10" t="n"/>
      <c r="I88" s="10" t="n"/>
      <c r="J88" s="10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/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/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/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/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/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/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/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/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>
        <f>IFERROR((B113-B56-B57+B58)/B60,"-")</f>
        <v/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>
        <f>Data!L27</f>
        <v/>
      </c>
      <c r="C118" s="53" t="n"/>
      <c r="D118" s="23">
        <f>IFERROR(B118*C118*B60,"-")</f>
        <v/>
      </c>
      <c r="E118" s="28">
        <f>IFERROR(B118*C118,"-")</f>
        <v/>
      </c>
      <c r="F118" s="10" t="n"/>
      <c r="G118" s="10" t="n"/>
      <c r="H118" s="10" t="n"/>
      <c r="I118" s="10" t="n"/>
      <c r="J118" s="10" t="n"/>
    </row>
    <row r="119" ht="15" customHeight="1" s="74">
      <c r="A119" s="39" t="inlineStr">
        <is>
          <t>EV/EBITDA × EBITDA</t>
        </is>
      </c>
      <c r="B119" s="48">
        <f>Data!L20</f>
        <v/>
      </c>
      <c r="C119" s="46" t="n"/>
      <c r="D119" s="48">
        <f>IFERROR(B119*C119,"-")</f>
        <v/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</row>
    <row r="120" ht="15" customHeight="1" s="74">
      <c r="A120" s="39" t="inlineStr">
        <is>
          <t>EV/EBIT × EBIT</t>
        </is>
      </c>
      <c r="B120" s="23">
        <f>Data!L22</f>
        <v/>
      </c>
      <c r="C120" s="53" t="n"/>
      <c r="D120" s="23">
        <f>IFERROR(B120*C120,"-")</f>
        <v/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</row>
    <row r="121" ht="15" customHeight="1" s="74">
      <c r="A121" s="39" t="inlineStr">
        <is>
          <t>P/FCF × FCF/Share</t>
        </is>
      </c>
      <c r="B121" s="29">
        <f>IFERROR(Data!L53/Data!L28,"-")</f>
        <v/>
      </c>
      <c r="C121" s="46" t="n"/>
      <c r="D121" s="48">
        <f>IFERROR(B121*C121*B60,"-")</f>
        <v/>
      </c>
      <c r="E121" s="29">
        <f>IFERROR(B121*C121,"-")</f>
        <v/>
      </c>
      <c r="F121" s="2" t="n"/>
      <c r="G121" s="2" t="n"/>
      <c r="H121" s="2" t="n"/>
      <c r="I121" s="2" t="n"/>
      <c r="J121" s="2" t="n"/>
    </row>
    <row r="122" ht="15" customHeight="1" s="74">
      <c r="A122" s="39" t="inlineStr">
        <is>
          <t>FCF Yield → Price</t>
        </is>
      </c>
      <c r="B122" s="28">
        <f>IFERROR(Data!L53/Data!L28,"-")</f>
        <v/>
      </c>
      <c r="C122" s="76" t="n"/>
      <c r="D122" s="23">
        <f>IFERROR(B122/C122*B60,"-")</f>
        <v/>
      </c>
      <c r="E122" s="28">
        <f>IFERROR(B122/C122,"-")</f>
        <v/>
      </c>
      <c r="F122" s="10" t="n"/>
      <c r="G122" s="10" t="n"/>
      <c r="H122" s="10" t="n"/>
      <c r="I122" s="10" t="n"/>
      <c r="J122" s="10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>
        <f>B88</f>
        <v/>
      </c>
      <c r="C135" s="29">
        <f>B61</f>
        <v/>
      </c>
      <c r="D135" s="29">
        <f>B114</f>
        <v/>
      </c>
      <c r="E135" s="81" t="n">
        <v>0.45</v>
      </c>
      <c r="F135" s="2" t="n"/>
      <c r="G135" s="2" t="n"/>
      <c r="H135" s="2" t="n"/>
      <c r="I135" s="2" t="n"/>
      <c r="J135" s="2" t="n"/>
    </row>
    <row r="136" ht="15" customHeight="1" s="74">
      <c r="A136" s="15" t="inlineStr">
        <is>
          <t>P/E Relative (Section 4)</t>
        </is>
      </c>
      <c r="B136" s="28">
        <f>IFERROR(Data!L27*B181,"-")</f>
        <v/>
      </c>
      <c r="C136" s="28">
        <f>E118</f>
        <v/>
      </c>
      <c r="D136" s="28">
        <f>IFERROR(Data!L27*B182,"-")</f>
        <v/>
      </c>
      <c r="E136" s="84" t="n">
        <v>0.25</v>
      </c>
      <c r="F136" s="10" t="n"/>
      <c r="G136" s="10" t="n"/>
      <c r="H136" s="10" t="n"/>
      <c r="I136" s="10" t="n"/>
      <c r="J136" s="10" t="n"/>
    </row>
    <row r="137" ht="15" customHeight="1" s="74">
      <c r="A137" s="17" t="inlineStr">
        <is>
          <t>EV/EBITDA Relative (Section 4)</t>
        </is>
      </c>
      <c r="B137" s="29">
        <f>IFERROR((Data!L20*B183-Data!L36-Data!L42+B58)/B60,"-")</f>
        <v/>
      </c>
      <c r="C137" s="29">
        <f>E119</f>
        <v/>
      </c>
      <c r="D137" s="29">
        <f>IFERROR((Data!L20*B184-Data!L36-Data!L42+B58)/B60,"-")</f>
        <v/>
      </c>
      <c r="E137" s="81" t="n">
        <v>0.2</v>
      </c>
      <c r="F137" s="2" t="n"/>
      <c r="G137" s="2" t="n"/>
      <c r="H137" s="2" t="n"/>
      <c r="I137" s="2" t="n"/>
      <c r="J137" s="2" t="n"/>
    </row>
    <row r="138" ht="15" customHeight="1" s="74">
      <c r="A138" s="15" t="inlineStr">
        <is>
          <t>FCF Yield (Section 4)</t>
        </is>
      </c>
      <c r="B138" s="28">
        <f>IFERROR((Data!L53/Data!L28)/B185,"-")</f>
        <v/>
      </c>
      <c r="C138" s="28">
        <f>E122</f>
        <v/>
      </c>
      <c r="D138" s="28">
        <f>IFERROR((Data!L53/Data!L28)/B186,"-")</f>
        <v/>
      </c>
      <c r="E138" s="84" t="n">
        <v>0.1</v>
      </c>
      <c r="F138" s="10" t="n"/>
      <c r="G138" s="10" t="n"/>
      <c r="H138" s="10" t="n"/>
      <c r="I138" s="10" t="n"/>
      <c r="J138" s="10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>
        <f>IFERROR(B140*B141+C140*C141+D140*D141,"-")</f>
        <v/>
      </c>
      <c r="C143" s="2" t="n"/>
      <c r="D143" s="2" t="n"/>
      <c r="E143" s="2" t="n"/>
      <c r="F143" s="2" t="n"/>
      <c r="G143" s="2" t="n"/>
      <c r="H143" s="2" t="n"/>
      <c r="I143" s="2" t="n"/>
      <c r="J143" s="2" t="n"/>
    </row>
    <row r="144" ht="15" customHeight="1" s="74">
      <c r="A144" s="15" t="inlineStr">
        <is>
          <t>Current Share Price</t>
        </is>
      </c>
      <c r="B144" s="28">
        <f>Data!B8</f>
        <v/>
      </c>
      <c r="C144" s="10" t="n"/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>
        <f>IFERROR(B143/Data!B8-1,"-")</f>
        <v/>
      </c>
      <c r="C145" s="2" t="n"/>
      <c r="D145" s="2" t="n"/>
      <c r="E145" s="2" t="n"/>
      <c r="F145" s="2" t="n"/>
      <c r="G145" s="2" t="n"/>
      <c r="H145" s="2" t="n"/>
      <c r="I145" s="2" t="n"/>
      <c r="J145" s="2" t="n"/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>
        <f>G26+-0.015</f>
        <v/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>
        <f>G27+-6</f>
        <v/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n"/>
      <c r="C173" s="63" t="n"/>
      <c r="D173" s="63" t="n"/>
      <c r="E173" s="63" t="n"/>
      <c r="F173" s="64" t="n"/>
      <c r="G173" s="2" t="n"/>
      <c r="H173" s="2" t="n"/>
      <c r="I173" s="2" t="n"/>
      <c r="J173" s="2" t="n"/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n"/>
      <c r="C175" s="63" t="n"/>
      <c r="D175" s="63" t="n"/>
      <c r="E175" s="63" t="n"/>
      <c r="F175" s="64" t="n"/>
      <c r="G175" s="2" t="n"/>
      <c r="H175" s="2" t="n"/>
      <c r="I175" s="2" t="n"/>
      <c r="J175" s="2" t="n"/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>
        <f>IFERROR(Data!B16/Data!B14,"-")</f>
        <v/>
      </c>
      <c r="C4" s="89">
        <f>IFERROR(Data!C16/Data!C14,"-")</f>
        <v/>
      </c>
      <c r="D4" s="89">
        <f>IFERROR(Data!D16/Data!D14,"-")</f>
        <v/>
      </c>
      <c r="E4" s="89">
        <f>IFERROR(Data!E16/Data!E14,"-")</f>
        <v/>
      </c>
      <c r="F4" s="89">
        <f>IFERROR(Data!F16/Data!F14,"-")</f>
        <v/>
      </c>
      <c r="G4" s="89">
        <f>IFERROR(Data!G16/Data!G14,"-")</f>
        <v/>
      </c>
      <c r="H4" s="89">
        <f>IFERROR(Data!H16/Data!H14,"-")</f>
        <v/>
      </c>
      <c r="I4" s="89">
        <f>IFERROR(Data!I16/Data!I14,"-")</f>
        <v/>
      </c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>
        <f>IFERROR(Data!B20/Data!B14,"-")</f>
        <v/>
      </c>
      <c r="C5" s="90">
        <f>IFERROR(Data!C20/Data!C14,"-")</f>
        <v/>
      </c>
      <c r="D5" s="90">
        <f>IFERROR(Data!D20/Data!D14,"-")</f>
        <v/>
      </c>
      <c r="E5" s="90">
        <f>IFERROR(Data!E20/Data!E14,"-")</f>
        <v/>
      </c>
      <c r="F5" s="90">
        <f>IFERROR(Data!F20/Data!F14,"-")</f>
        <v/>
      </c>
      <c r="G5" s="90">
        <f>IFERROR(Data!G20/Data!G14,"-")</f>
        <v/>
      </c>
      <c r="H5" s="90">
        <f>IFERROR(Data!H20/Data!H14,"-")</f>
        <v/>
      </c>
      <c r="I5" s="90">
        <f>IFERROR(Data!I20/Data!I14,"-")</f>
        <v/>
      </c>
      <c r="J5" s="90">
        <f>IFERROR(Data!J20/Data!J14,"-")</f>
        <v/>
      </c>
      <c r="K5" s="90">
        <f>IFERROR(Data!K20/Data!K14,"-")</f>
        <v/>
      </c>
      <c r="L5" s="90">
        <f>IFERROR(Data!L20/Data!L14,"-")</f>
        <v/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>
        <f>IFERROR(Data!B22/Data!B14,"-")</f>
        <v/>
      </c>
      <c r="C6" s="89">
        <f>IFERROR(Data!C22/Data!C14,"-")</f>
        <v/>
      </c>
      <c r="D6" s="89">
        <f>IFERROR(Data!D22/Data!D14,"-")</f>
        <v/>
      </c>
      <c r="E6" s="89">
        <f>IFERROR(Data!E22/Data!E14,"-")</f>
        <v/>
      </c>
      <c r="F6" s="89">
        <f>IFERROR(Data!F22/Data!F14,"-")</f>
        <v/>
      </c>
      <c r="G6" s="89">
        <f>IFERROR(Data!G22/Data!G14,"-")</f>
        <v/>
      </c>
      <c r="H6" s="89">
        <f>IFERROR(Data!H22/Data!H14,"-")</f>
        <v/>
      </c>
      <c r="I6" s="89">
        <f>IFERROR(Data!I22/Data!I14,"-")</f>
        <v/>
      </c>
      <c r="J6" s="89">
        <f>IFERROR(Data!J22/Data!J14,"-")</f>
        <v/>
      </c>
      <c r="K6" s="89">
        <f>IFERROR(Data!K22/Data!K14,"-")</f>
        <v/>
      </c>
      <c r="L6" s="89">
        <f>IFERROR(Data!L22/Data!L14,"-")</f>
        <v/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>
        <f>IFERROR(Data!B26/Data!B14,"-")</f>
        <v/>
      </c>
      <c r="C7" s="90">
        <f>IFERROR(Data!C26/Data!C14,"-")</f>
        <v/>
      </c>
      <c r="D7" s="90">
        <f>IFERROR(Data!D26/Data!D14,"-")</f>
        <v/>
      </c>
      <c r="E7" s="90">
        <f>IFERROR(Data!E26/Data!E14,"-")</f>
        <v/>
      </c>
      <c r="F7" s="90">
        <f>IFERROR(Data!F26/Data!F14,"-")</f>
        <v/>
      </c>
      <c r="G7" s="90">
        <f>IFERROR(Data!G26/Data!G14,"-")</f>
        <v/>
      </c>
      <c r="H7" s="90">
        <f>IFERROR(Data!H26/Data!H14,"-")</f>
        <v/>
      </c>
      <c r="I7" s="90">
        <f>IFERROR(Data!I26/Data!I14,"-")</f>
        <v/>
      </c>
      <c r="J7" s="90">
        <f>IFERROR(Data!J26/Data!J14,"-")</f>
        <v/>
      </c>
      <c r="K7" s="90">
        <f>IFERROR(Data!K26/Data!K14,"-")</f>
        <v/>
      </c>
      <c r="L7" s="90">
        <f>IFERROR(Data!L26/Data!L14,"-")</f>
        <v/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>
        <f>IFERROR(Data!B53/Data!B14,"-")</f>
        <v/>
      </c>
      <c r="C8" s="89">
        <f>IFERROR(Data!C53/Data!C14,"-")</f>
        <v/>
      </c>
      <c r="D8" s="89">
        <f>IFERROR(Data!D53/Data!D14,"-")</f>
        <v/>
      </c>
      <c r="E8" s="89">
        <f>IFERROR(Data!E53/Data!E14,"-")</f>
        <v/>
      </c>
      <c r="F8" s="89">
        <f>IFERROR(Data!F53/Data!F14,"-")</f>
        <v/>
      </c>
      <c r="G8" s="89">
        <f>IFERROR(Data!G53/Data!G14,"-")</f>
        <v/>
      </c>
      <c r="H8" s="89">
        <f>IFERROR(Data!H53/Data!H14,"-")</f>
        <v/>
      </c>
      <c r="I8" s="89">
        <f>IFERROR(Data!I53/Data!I14,"-")</f>
        <v/>
      </c>
      <c r="J8" s="89">
        <f>IFERROR(Data!J53/Data!J14,"-")</f>
        <v/>
      </c>
      <c r="K8" s="89">
        <f>IFERROR(Data!K53/Data!K14,"-")</f>
        <v/>
      </c>
      <c r="L8" s="89">
        <f>IFERROR(Data!L53/Data!L14,"-")</f>
        <v/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>
        <f>IFERROR(Data!B26/Data!B41,"-")</f>
        <v/>
      </c>
      <c r="C12" s="89">
        <f>IFERROR(Data!C26/((Data!C41+Data!B41)/2),"-")</f>
        <v/>
      </c>
      <c r="D12" s="89">
        <f>IFERROR(Data!D26/((Data!D41+Data!C41)/2),"-")</f>
        <v/>
      </c>
      <c r="E12" s="89">
        <f>IFERROR(Data!E26/((Data!E41+Data!D41)/2),"-")</f>
        <v/>
      </c>
      <c r="F12" s="89">
        <f>IFERROR(Data!F26/((Data!F41+Data!E41)/2),"-")</f>
        <v/>
      </c>
      <c r="G12" s="89">
        <f>IFERROR(Data!G26/((Data!G41+Data!F41)/2),"-")</f>
        <v/>
      </c>
      <c r="H12" s="89">
        <f>IFERROR(Data!H26/((Data!H41+Data!G41)/2),"-")</f>
        <v/>
      </c>
      <c r="I12" s="89">
        <f>IFERROR(Data!I26/((Data!I41+Data!H41)/2),"-")</f>
        <v/>
      </c>
      <c r="J12" s="89">
        <f>IFERROR(Data!J26/((Data!J41+Data!I41)/2),"-")</f>
        <v/>
      </c>
      <c r="K12" s="89">
        <f>IFERROR(Data!K26/((Data!K41+Data!J41)/2),"-")</f>
        <v/>
      </c>
      <c r="L12" s="89">
        <f>IFERROR(Data!L26/((Data!L41+Data!K41)/2),"-")</f>
        <v/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>
        <f>IFERROR(Data!B26/Data!B39,"-")</f>
        <v/>
      </c>
      <c r="C13" s="90">
        <f>IFERROR(Data!C26/((Data!C39+Data!B39)/2),"-")</f>
        <v/>
      </c>
      <c r="D13" s="90">
        <f>IFERROR(Data!D26/((Data!D39+Data!C39)/2),"-")</f>
        <v/>
      </c>
      <c r="E13" s="90">
        <f>IFERROR(Data!E26/((Data!E39+Data!D39)/2),"-")</f>
        <v/>
      </c>
      <c r="F13" s="90">
        <f>IFERROR(Data!F26/((Data!F39+Data!E39)/2),"-")</f>
        <v/>
      </c>
      <c r="G13" s="90">
        <f>IFERROR(Data!G26/((Data!G39+Data!F39)/2),"-")</f>
        <v/>
      </c>
      <c r="H13" s="90">
        <f>IFERROR(Data!H26/((Data!H39+Data!G39)/2),"-")</f>
        <v/>
      </c>
      <c r="I13" s="90">
        <f>IFERROR(Data!I26/((Data!I39+Data!H39)/2),"-")</f>
        <v/>
      </c>
      <c r="J13" s="90">
        <f>IFERROR(Data!J26/((Data!J39+Data!I39)/2),"-")</f>
        <v/>
      </c>
      <c r="K13" s="90">
        <f>IFERROR(Data!K26/((Data!K39+Data!J39)/2),"-")</f>
        <v/>
      </c>
      <c r="L13" s="90">
        <f>IFERROR(Data!L26/((Data!L39+Data!K39)/2),"-")</f>
        <v/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>
        <f>IFERROR(Data!B22*(1-IFERROR(Data!B25/Data!B24,0.21))/(Data!B41+Data!B35-Data!B32),"-")</f>
        <v/>
      </c>
      <c r="C14" s="89">
        <f>IFERROR(Data!C22*(1-IFERROR(Data!C25/Data!C24,0.21))/((Data!C41+Data!C35-Data!C32+Data!B41+Data!B35-Data!B32)/2),"-")</f>
        <v/>
      </c>
      <c r="D14" s="89">
        <f>IFERROR(Data!D22*(1-IFERROR(Data!D25/Data!D24,0.21))/((Data!D41+Data!D35-Data!D32+Data!C41+Data!C35-Data!C32)/2),"-")</f>
        <v/>
      </c>
      <c r="E14" s="89">
        <f>IFERROR(Data!E22*(1-IFERROR(Data!E25/Data!E24,0.21))/((Data!E41+Data!E35-Data!E32+Data!D41+Data!D35-Data!D32)/2),"-")</f>
        <v/>
      </c>
      <c r="F14" s="89">
        <f>IFERROR(Data!F22*(1-IFERROR(Data!F25/Data!F24,0.21))/((Data!F41+Data!F35-Data!F32+Data!E41+Data!E35-Data!E32)/2),"-")</f>
        <v/>
      </c>
      <c r="G14" s="89">
        <f>IFERROR(Data!G22*(1-IFERROR(Data!G25/Data!G24,0.21))/((Data!G41+Data!G35-Data!G32+Data!F41+Data!F35-Data!F32)/2),"-")</f>
        <v/>
      </c>
      <c r="H14" s="89">
        <f>IFERROR(Data!H22*(1-IFERROR(Data!H25/Data!H24,0.21))/((Data!H41+Data!H35-Data!H32+Data!G41+Data!G35-Data!G32)/2),"-")</f>
        <v/>
      </c>
      <c r="I14" s="89">
        <f>IFERROR(Data!I22*(1-IFERROR(Data!I25/Data!I24,0.21))/((Data!I41+Data!I35-Data!I32+Data!H41+Data!H35-Data!H32)/2),"-")</f>
        <v/>
      </c>
      <c r="J14" s="89">
        <f>IFERROR(Data!J22*(1-IFERROR(Data!J25/Data!J24,0.21))/((Data!J41+Data!J35-Data!J32+Data!I41+Data!I35-Data!I32)/2),"-")</f>
        <v/>
      </c>
      <c r="K14" s="89">
        <f>IFERROR(Data!K22*(1-IFERROR(Data!K25/Data!K24,0.21))/((Data!K41+Data!K35-Data!K32+Data!J41+Data!J35-Data!J32)/2),"-")</f>
        <v/>
      </c>
      <c r="L14" s="89">
        <f>IFERROR(Data!L22*(1-IFERROR(Data!L25/Data!L24,0.21))/((Data!L41+Data!L35-Data!L32+Data!K41+Data!K35-Data!K32)/2),"-")</f>
        <v/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>
        <f>IFERROR(Data!D22/Data!D23,"-")</f>
        <v/>
      </c>
      <c r="E15" s="91">
        <f>IFERROR(Data!E22/Data!E23,"-")</f>
        <v/>
      </c>
      <c r="F15" s="91">
        <f>IFERROR(Data!F22/Data!F23,"-")</f>
        <v/>
      </c>
      <c r="G15" s="91">
        <f>IFERROR(Data!G22/Data!G23,"-")</f>
        <v/>
      </c>
      <c r="H15" s="91">
        <f>IFERROR(Data!H22/Data!H23,"-")</f>
        <v/>
      </c>
      <c r="I15" s="91">
        <f>IFERROR(Data!I22/Data!I23,"-")</f>
        <v/>
      </c>
      <c r="J15" s="91">
        <f>IFERROR(Data!J22/Data!J23,"-")</f>
        <v/>
      </c>
      <c r="K15" s="91">
        <f>IFERROR(Data!K22/Data!K23,"-")</f>
        <v/>
      </c>
      <c r="L15" s="91">
        <f>IFERROR(Data!L22/Data!L23,"-")</f>
        <v/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>
        <f>IFERROR(Data!B35/Data!B41,"-")</f>
        <v/>
      </c>
      <c r="C16" s="92">
        <f>IFERROR(Data!C35/Data!C41,"-")</f>
        <v/>
      </c>
      <c r="D16" s="92">
        <f>IFERROR(Data!D35/Data!D41,"-")</f>
        <v/>
      </c>
      <c r="E16" s="92">
        <f>IFERROR(Data!E35/Data!E41,"-")</f>
        <v/>
      </c>
      <c r="F16" s="92">
        <f>IFERROR(Data!F35/Data!F41,"-")</f>
        <v/>
      </c>
      <c r="G16" s="92">
        <f>IFERROR(Data!G35/Data!G41,"-")</f>
        <v/>
      </c>
      <c r="H16" s="92">
        <f>IFERROR(Data!H35/Data!H41,"-")</f>
        <v/>
      </c>
      <c r="I16" s="92">
        <f>IFERROR(Data!I35/Data!I41,"-")</f>
        <v/>
      </c>
      <c r="J16" s="92">
        <f>IFERROR(Data!J35/Data!J41,"-")</f>
        <v/>
      </c>
      <c r="K16" s="92">
        <f>IFERROR(Data!K35/Data!K41,"-")</f>
        <v/>
      </c>
      <c r="L16" s="92">
        <f>IFERROR(Data!L35/Data!L41,"-")</f>
        <v/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>
        <f>IFERROR(Data!B37/Data!B38,"-")</f>
        <v/>
      </c>
      <c r="C17" s="91">
        <f>IFERROR(Data!C37/Data!C38,"-")</f>
        <v/>
      </c>
      <c r="D17" s="91">
        <f>IFERROR(Data!D37/Data!D38,"-")</f>
        <v/>
      </c>
      <c r="E17" s="91">
        <f>IFERROR(Data!E37/Data!E38,"-")</f>
        <v/>
      </c>
      <c r="F17" s="91">
        <f>IFERROR(Data!F37/Data!F38,"-")</f>
        <v/>
      </c>
      <c r="G17" s="91">
        <f>IFERROR(Data!G37/Data!G38,"-")</f>
        <v/>
      </c>
      <c r="H17" s="91">
        <f>IFERROR(Data!H37/Data!H38,"-")</f>
        <v/>
      </c>
      <c r="I17" s="91">
        <f>IFERROR(Data!I37/Data!I38,"-")</f>
        <v/>
      </c>
      <c r="J17" s="91">
        <f>IFERROR(Data!J37/Data!J38,"-")</f>
        <v/>
      </c>
      <c r="K17" s="91">
        <f>IFERROR(Data!K37/Data!K38,"-")</f>
        <v/>
      </c>
      <c r="L17" s="91">
        <f>IFERROR(Data!L37/Data!L38,"-")</f>
        <v/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>
        <f>IFERROR(Data!B35/Data!B20,"-")</f>
        <v/>
      </c>
      <c r="C18" s="92">
        <f>IFERROR(Data!C35/Data!C20,"-")</f>
        <v/>
      </c>
      <c r="D18" s="92">
        <f>IFERROR(Data!D35/Data!D20,"-")</f>
        <v/>
      </c>
      <c r="E18" s="92">
        <f>IFERROR(Data!E35/Data!E20,"-")</f>
        <v/>
      </c>
      <c r="F18" s="92">
        <f>IFERROR(Data!F35/Data!F20,"-")</f>
        <v/>
      </c>
      <c r="G18" s="92">
        <f>IFERROR(Data!G35/Data!G20,"-")</f>
        <v/>
      </c>
      <c r="H18" s="92">
        <f>IFERROR(Data!H35/Data!H20,"-")</f>
        <v/>
      </c>
      <c r="I18" s="92">
        <f>IFERROR(Data!I35/Data!I20,"-")</f>
        <v/>
      </c>
      <c r="J18" s="92">
        <f>IFERROR(Data!J35/Data!J20,"-")</f>
        <v/>
      </c>
      <c r="K18" s="92">
        <f>IFERROR(Data!K35/Data!K20,"-")</f>
        <v/>
      </c>
      <c r="L18" s="92">
        <f>IFERROR(Data!L35/Data!L20,"-")</f>
        <v/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>
        <f>IFERROR((Data!C14-Data!B14)/ABS(Data!B14),"-")</f>
        <v/>
      </c>
      <c r="D22" s="89">
        <f>IFERROR((Data!D14-Data!C14)/ABS(Data!C14),"-")</f>
        <v/>
      </c>
      <c r="E22" s="89">
        <f>IFERROR((Data!E14-Data!D14)/ABS(Data!D14),"-")</f>
        <v/>
      </c>
      <c r="F22" s="89">
        <f>IFERROR((Data!F14-Data!E14)/ABS(Data!E14),"-")</f>
        <v/>
      </c>
      <c r="G22" s="89">
        <f>IFERROR((Data!G14-Data!F14)/ABS(Data!F14),"-")</f>
        <v/>
      </c>
      <c r="H22" s="89">
        <f>IFERROR((Data!H14-Data!G14)/ABS(Data!G14),"-")</f>
        <v/>
      </c>
      <c r="I22" s="89">
        <f>IFERROR((Data!I14-Data!H14)/ABS(Data!H14),"-")</f>
        <v/>
      </c>
      <c r="J22" s="89">
        <f>IFERROR((Data!J14-Data!I14)/ABS(Data!I14),"-")</f>
        <v/>
      </c>
      <c r="K22" s="89">
        <f>IFERROR((Data!K14-Data!J14)/ABS(Data!J14),"-")</f>
        <v/>
      </c>
      <c r="L22" s="89">
        <f>IFERROR((Data!L14-Data!K14)/ABS(Data!K14),"-")</f>
        <v/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>
        <f>IFERROR((Data!C20-Data!B20)/ABS(Data!B20),"-")</f>
        <v/>
      </c>
      <c r="D23" s="90">
        <f>IFERROR((Data!D20-Data!C20)/ABS(Data!C20),"-")</f>
        <v/>
      </c>
      <c r="E23" s="90">
        <f>IFERROR((Data!E20-Data!D20)/ABS(Data!D20),"-")</f>
        <v/>
      </c>
      <c r="F23" s="90">
        <f>IFERROR((Data!F20-Data!E20)/ABS(Data!E20),"-")</f>
        <v/>
      </c>
      <c r="G23" s="90">
        <f>IFERROR((Data!G20-Data!F20)/ABS(Data!F20),"-")</f>
        <v/>
      </c>
      <c r="H23" s="90">
        <f>IFERROR((Data!H20-Data!G20)/ABS(Data!G20),"-")</f>
        <v/>
      </c>
      <c r="I23" s="90">
        <f>IFERROR((Data!I20-Data!H20)/ABS(Data!H20),"-")</f>
        <v/>
      </c>
      <c r="J23" s="90">
        <f>IFERROR((Data!J20-Data!I20)/ABS(Data!I20),"-")</f>
        <v/>
      </c>
      <c r="K23" s="90">
        <f>IFERROR((Data!K20-Data!J20)/ABS(Data!J20),"-")</f>
        <v/>
      </c>
      <c r="L23" s="90">
        <f>IFERROR((Data!L20-Data!K20)/ABS(Data!K20),"-")</f>
        <v/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>
        <f>IFERROR((Data!E27-Data!D27)/ABS(Data!D27),"-")</f>
        <v/>
      </c>
      <c r="F24" s="89">
        <f>IFERROR((Data!F27-Data!E27)/ABS(Data!E27),"-")</f>
        <v/>
      </c>
      <c r="G24" s="89">
        <f>IFERROR((Data!G27-Data!F27)/ABS(Data!F27),"-")</f>
        <v/>
      </c>
      <c r="H24" s="89">
        <f>IFERROR((Data!H27-Data!G27)/ABS(Data!G27),"-")</f>
        <v/>
      </c>
      <c r="I24" s="89">
        <f>IFERROR((Data!I27-Data!H27)/ABS(Data!H27),"-")</f>
        <v/>
      </c>
      <c r="J24" s="89">
        <f>IFERROR((Data!J27-Data!I27)/ABS(Data!I27),"-")</f>
        <v/>
      </c>
      <c r="K24" s="89">
        <f>IFERROR((Data!K27-Data!J27)/ABS(Data!J27),"-")</f>
        <v/>
      </c>
      <c r="L24" s="89">
        <f>IFERROR((Data!L27-Data!K27)/ABS(Data!K27),"-")</f>
        <v/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>
        <f>IFERROR((Data!C26-Data!B26)/ABS(Data!B26),"-")</f>
        <v/>
      </c>
      <c r="D25" s="90">
        <f>IFERROR((Data!D26-Data!C26)/ABS(Data!C26),"-")</f>
        <v/>
      </c>
      <c r="E25" s="90">
        <f>IFERROR((Data!E26-Data!D26)/ABS(Data!D26),"-")</f>
        <v/>
      </c>
      <c r="F25" s="90">
        <f>IFERROR((Data!F26-Data!E26)/ABS(Data!E26),"-")</f>
        <v/>
      </c>
      <c r="G25" s="90">
        <f>IFERROR((Data!G26-Data!F26)/ABS(Data!F26),"-")</f>
        <v/>
      </c>
      <c r="H25" s="90">
        <f>IFERROR((Data!H26-Data!G26)/ABS(Data!G26),"-")</f>
        <v/>
      </c>
      <c r="I25" s="90">
        <f>IFERROR((Data!I26-Data!H26)/ABS(Data!H26),"-")</f>
        <v/>
      </c>
      <c r="J25" s="90">
        <f>IFERROR((Data!J26-Data!I26)/ABS(Data!I26),"-")</f>
        <v/>
      </c>
      <c r="K25" s="90">
        <f>IFERROR((Data!K26-Data!J26)/ABS(Data!J26),"-")</f>
        <v/>
      </c>
      <c r="L25" s="90">
        <f>IFERROR((Data!L26-Data!K26)/ABS(Data!K26),"-")</f>
        <v/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>
        <f>IFERROR((Data!C53-Data!B53)/ABS(Data!B53),"-")</f>
        <v/>
      </c>
      <c r="D26" s="89">
        <f>IFERROR((Data!D53-Data!C53)/ABS(Data!C53),"-")</f>
        <v/>
      </c>
      <c r="E26" s="89">
        <f>IFERROR((Data!E53-Data!D53)/ABS(Data!D53),"-")</f>
        <v/>
      </c>
      <c r="F26" s="89">
        <f>IFERROR((Data!F53-Data!E53)/ABS(Data!E53),"-")</f>
        <v/>
      </c>
      <c r="G26" s="89">
        <f>IFERROR((Data!G53-Data!F53)/ABS(Data!F53),"-")</f>
        <v/>
      </c>
      <c r="H26" s="89">
        <f>IFERROR((Data!H53-Data!G53)/ABS(Data!G53),"-")</f>
        <v/>
      </c>
      <c r="I26" s="89">
        <f>IFERROR((Data!I53-Data!H53)/ABS(Data!H53),"-")</f>
        <v/>
      </c>
      <c r="J26" s="89">
        <f>IFERROR((Data!J53-Data!I53)/ABS(Data!I53),"-")</f>
        <v/>
      </c>
      <c r="K26" s="89">
        <f>IFERROR((Data!K53-Data!J53)/ABS(Data!J53),"-")</f>
        <v/>
      </c>
      <c r="L26" s="89">
        <f>IFERROR((Data!L53-Data!K53)/ABS(Data!K53),"-")</f>
        <v/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>
        <f>IFERROR(Data!B41/Data!B28,"-")</f>
        <v/>
      </c>
      <c r="C30" s="21">
        <f>IFERROR(Data!C41/Data!C28,"-")</f>
        <v/>
      </c>
      <c r="D30" s="21">
        <f>IFERROR(Data!D41/Data!D28,"-")</f>
        <v/>
      </c>
      <c r="E30" s="21">
        <f>IFERROR(Data!E41/Data!E28,"-")</f>
        <v/>
      </c>
      <c r="F30" s="21">
        <f>IFERROR(Data!F41/Data!F28,"-")</f>
        <v/>
      </c>
      <c r="G30" s="21">
        <f>IFERROR(Data!G41/Data!G28,"-")</f>
        <v/>
      </c>
      <c r="H30" s="21">
        <f>IFERROR(Data!H41/Data!H28,"-")</f>
        <v/>
      </c>
      <c r="I30" s="21">
        <f>IFERROR(Data!I41/Data!I28,"-")</f>
        <v/>
      </c>
      <c r="J30" s="21">
        <f>IFERROR(Data!J41/Data!J28,"-")</f>
        <v/>
      </c>
      <c r="K30" s="21">
        <f>IFERROR(Data!K41/Data!K28,"-")</f>
        <v/>
      </c>
      <c r="L30" s="21">
        <f>IFERROR(Data!L41/Data!L28,"-")</f>
        <v/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>
        <f>IFERROR(Data!B53/Data!B28,"-")</f>
        <v/>
      </c>
      <c r="C31" s="22">
        <f>IFERROR(Data!C53/Data!C28,"-")</f>
        <v/>
      </c>
      <c r="D31" s="22">
        <f>IFERROR(Data!D53/Data!D28,"-")</f>
        <v/>
      </c>
      <c r="E31" s="22">
        <f>IFERROR(Data!E53/Data!E28,"-")</f>
        <v/>
      </c>
      <c r="F31" s="22">
        <f>IFERROR(Data!F53/Data!F28,"-")</f>
        <v/>
      </c>
      <c r="G31" s="22">
        <f>IFERROR(Data!G53/Data!G28,"-")</f>
        <v/>
      </c>
      <c r="H31" s="22">
        <f>IFERROR(Data!H53/Data!H28,"-")</f>
        <v/>
      </c>
      <c r="I31" s="22">
        <f>IFERROR(Data!I53/Data!I28,"-")</f>
        <v/>
      </c>
      <c r="J31" s="22">
        <f>IFERROR(Data!J53/Data!J28,"-")</f>
        <v/>
      </c>
      <c r="K31" s="22">
        <f>IFERROR(Data!K53/Data!K28,"-")</f>
        <v/>
      </c>
      <c r="L31" s="22">
        <f>IFERROR(Data!L53/Data!L28,"-")</f>
        <v/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>
        <f>IFERROR(Data!B14/Data!B28,"-")</f>
        <v/>
      </c>
      <c r="C32" s="21">
        <f>IFERROR(Data!C14/Data!C28,"-")</f>
        <v/>
      </c>
      <c r="D32" s="21">
        <f>IFERROR(Data!D14/Data!D28,"-")</f>
        <v/>
      </c>
      <c r="E32" s="21">
        <f>IFERROR(Data!E14/Data!E28,"-")</f>
        <v/>
      </c>
      <c r="F32" s="21">
        <f>IFERROR(Data!F14/Data!F28,"-")</f>
        <v/>
      </c>
      <c r="G32" s="21">
        <f>IFERROR(Data!G14/Data!G28,"-")</f>
        <v/>
      </c>
      <c r="H32" s="21">
        <f>IFERROR(Data!H14/Data!H28,"-")</f>
        <v/>
      </c>
      <c r="I32" s="21">
        <f>IFERROR(Data!I14/Data!I28,"-")</f>
        <v/>
      </c>
      <c r="J32" s="21">
        <f>IFERROR(Data!J14/Data!J28,"-")</f>
        <v/>
      </c>
      <c r="K32" s="21">
        <f>IFERROR(Data!K14/Data!K28,"-")</f>
        <v/>
      </c>
      <c r="L32" s="21">
        <f>IFERROR(Data!L14/Data!L28,"-")</f>
        <v/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>
        <f>IFERROR(IF(COLUMN(B1)=2,Data!B15/Data!B47,Data!B15/((Data!B47+Data!B47)/2)),"-")</f>
        <v/>
      </c>
      <c r="C58" s="83">
        <f>IFERROR(IF(COLUMN(C1)=2,Data!C15/Data!C47,Data!C15/((Data!C47+Data!B47)/2)),"-")</f>
        <v/>
      </c>
      <c r="D58" s="83">
        <f>IFERROR(IF(COLUMN(D1)=2,Data!D15/Data!D47,Data!D15/((Data!D47+Data!C47)/2)),"-")</f>
        <v/>
      </c>
      <c r="E58" s="83">
        <f>IFERROR(IF(COLUMN(E1)=2,Data!E15/Data!E47,Data!E15/((Data!E47+Data!D47)/2)),"-")</f>
        <v/>
      </c>
      <c r="F58" s="83">
        <f>IFERROR(IF(COLUMN(F1)=2,Data!F15/Data!F47,Data!F15/((Data!F47+Data!E47)/2)),"-")</f>
        <v/>
      </c>
      <c r="G58" s="83">
        <f>IFERROR(IF(COLUMN(G1)=2,Data!G15/Data!G47,Data!G15/((Data!G47+Data!F47)/2)),"-")</f>
        <v/>
      </c>
      <c r="H58" s="83">
        <f>IFERROR(IF(COLUMN(H1)=2,Data!H15/Data!H47,Data!H15/((Data!H47+Data!G47)/2)),"-")</f>
        <v/>
      </c>
      <c r="I58" s="83">
        <f>IFERROR(IF(COLUMN(I1)=2,Data!I15/Data!I47,Data!I15/((Data!I47+Data!H47)/2)),"-")</f>
        <v/>
      </c>
      <c r="J58" s="83">
        <f>IFERROR(IF(COLUMN(J1)=2,Data!J15/Data!J47,Data!J15/((Data!J47+Data!I47)/2)),"-")</f>
        <v/>
      </c>
      <c r="K58" s="83">
        <f>IFERROR(IF(COLUMN(K1)=2,Data!K15/Data!K47,Data!K15/((Data!K47+Data!J47)/2)),"-")</f>
        <v/>
      </c>
      <c r="L58" s="83">
        <f>IFERROR(IF(COLUMN(L1)=2,Data!L15/Data!L47,Data!L15/((Data!L47+Data!K47)/2)),"-")</f>
        <v/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>
        <f>IFERROR(IF(COLUMN(B1)=2,Data!B47/Data!B15*IF(COLUMN(B1)&gt;=13,90,365),((Data!B47+Data!B47)/2)/Data!B15*IF(COLUMN(B1)&gt;=13,90,365)),"-")</f>
        <v/>
      </c>
      <c r="C59" s="93">
        <f>IFERROR(IF(COLUMN(C1)=2,Data!C47/Data!C15*IF(COLUMN(C1)&gt;=13,90,365),((Data!C47+Data!B47)/2)/Data!C15*IF(COLUMN(C1)&gt;=13,90,365)),"-")</f>
        <v/>
      </c>
      <c r="D59" s="93">
        <f>IFERROR(IF(COLUMN(D1)=2,Data!D47/Data!D15*IF(COLUMN(D1)&gt;=13,90,365),((Data!D47+Data!C47)/2)/Data!D15*IF(COLUMN(D1)&gt;=13,90,365)),"-")</f>
        <v/>
      </c>
      <c r="E59" s="93">
        <f>IFERROR(IF(COLUMN(E1)=2,Data!E47/Data!E15*IF(COLUMN(E1)&gt;=13,90,365),((Data!E47+Data!D47)/2)/Data!E15*IF(COLUMN(E1)&gt;=13,90,365)),"-")</f>
        <v/>
      </c>
      <c r="F59" s="93">
        <f>IFERROR(IF(COLUMN(F1)=2,Data!F47/Data!F15*IF(COLUMN(F1)&gt;=13,90,365),((Data!F47+Data!E47)/2)/Data!F15*IF(COLUMN(F1)&gt;=13,90,365)),"-")</f>
        <v/>
      </c>
      <c r="G59" s="93">
        <f>IFERROR(IF(COLUMN(G1)=2,Data!G47/Data!G15*IF(COLUMN(G1)&gt;=13,90,365),((Data!G47+Data!F47)/2)/Data!G15*IF(COLUMN(G1)&gt;=13,90,365)),"-")</f>
        <v/>
      </c>
      <c r="H59" s="93">
        <f>IFERROR(IF(COLUMN(H1)=2,Data!H47/Data!H15*IF(COLUMN(H1)&gt;=13,90,365),((Data!H47+Data!G47)/2)/Data!H15*IF(COLUMN(H1)&gt;=13,90,365)),"-")</f>
        <v/>
      </c>
      <c r="I59" s="93">
        <f>IFERROR(IF(COLUMN(I1)=2,Data!I47/Data!I15*IF(COLUMN(I1)&gt;=13,90,365),((Data!I47+Data!H47)/2)/Data!I15*IF(COLUMN(I1)&gt;=13,90,365)),"-")</f>
        <v/>
      </c>
      <c r="J59" s="93">
        <f>IFERROR(IF(COLUMN(J1)=2,Data!J47/Data!J15*IF(COLUMN(J1)&gt;=13,90,365),((Data!J47+Data!I47)/2)/Data!J15*IF(COLUMN(J1)&gt;=13,90,365)),"-")</f>
        <v/>
      </c>
      <c r="K59" s="93">
        <f>IFERROR(IF(COLUMN(K1)=2,Data!K47/Data!K15*IF(COLUMN(K1)&gt;=13,90,365),((Data!K47+Data!J47)/2)/Data!K15*IF(COLUMN(K1)&gt;=13,90,365)),"-")</f>
        <v/>
      </c>
      <c r="L59" s="93">
        <f>IFERROR(IF(COLUMN(L1)=2,Data!L47/Data!L15*IF(COLUMN(L1)&gt;=13,90,365),((Data!L47+Data!K47)/2)/Data!L15*IF(COLUMN(L1)&gt;=13,90,365)),"-")</f>
        <v/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>
        <f>IFERROR(IF(COLUMN(B1)=2,Data!B14/Data!B45,Data!B14/((Data!B45+Data!B45)/2)),"-")</f>
        <v/>
      </c>
      <c r="C60" s="83">
        <f>IFERROR(IF(COLUMN(C1)=2,Data!C14/Data!C45,Data!C14/((Data!C45+Data!B45)/2)),"-")</f>
        <v/>
      </c>
      <c r="D60" s="83">
        <f>IFERROR(IF(COLUMN(D1)=2,Data!D14/Data!D45,Data!D14/((Data!D45+Data!C45)/2)),"-")</f>
        <v/>
      </c>
      <c r="E60" s="83">
        <f>IFERROR(IF(COLUMN(E1)=2,Data!E14/Data!E45,Data!E14/((Data!E45+Data!D45)/2)),"-")</f>
        <v/>
      </c>
      <c r="F60" s="83">
        <f>IFERROR(IF(COLUMN(F1)=2,Data!F14/Data!F45,Data!F14/((Data!F45+Data!E45)/2)),"-")</f>
        <v/>
      </c>
      <c r="G60" s="83">
        <f>IFERROR(IF(COLUMN(G1)=2,Data!G14/Data!G45,Data!G14/((Data!G45+Data!F45)/2)),"-")</f>
        <v/>
      </c>
      <c r="H60" s="83">
        <f>IFERROR(IF(COLUMN(H1)=2,Data!H14/Data!H45,Data!H14/((Data!H45+Data!G45)/2)),"-")</f>
        <v/>
      </c>
      <c r="I60" s="83">
        <f>IFERROR(IF(COLUMN(I1)=2,Data!I14/Data!I45,Data!I14/((Data!I45+Data!H45)/2)),"-")</f>
        <v/>
      </c>
      <c r="J60" s="83">
        <f>IFERROR(IF(COLUMN(J1)=2,Data!J14/Data!J45,Data!J14/((Data!J45+Data!I45)/2)),"-")</f>
        <v/>
      </c>
      <c r="K60" s="83">
        <f>IFERROR(IF(COLUMN(K1)=2,Data!K14/Data!K45,Data!K14/((Data!K45+Data!J45)/2)),"-")</f>
        <v/>
      </c>
      <c r="L60" s="83">
        <f>IFERROR(IF(COLUMN(L1)=2,Data!L14/Data!L45,Data!L14/((Data!L45+Data!K45)/2)),"-")</f>
        <v/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>
        <f>IFERROR(IF(COLUMN(B1)=2,Data!B45/Data!B14*IF(COLUMN(B1)&gt;=13,90,365),((Data!B45+Data!B45)/2)/Data!B14*IF(COLUMN(B1)&gt;=13,90,365)),"-")</f>
        <v/>
      </c>
      <c r="C61" s="93">
        <f>IFERROR(IF(COLUMN(C1)=2,Data!C45/Data!C14*IF(COLUMN(C1)&gt;=13,90,365),((Data!C45+Data!B45)/2)/Data!C14*IF(COLUMN(C1)&gt;=13,90,365)),"-")</f>
        <v/>
      </c>
      <c r="D61" s="93">
        <f>IFERROR(IF(COLUMN(D1)=2,Data!D45/Data!D14*IF(COLUMN(D1)&gt;=13,90,365),((Data!D45+Data!C45)/2)/Data!D14*IF(COLUMN(D1)&gt;=13,90,365)),"-")</f>
        <v/>
      </c>
      <c r="E61" s="93">
        <f>IFERROR(IF(COLUMN(E1)=2,Data!E45/Data!E14*IF(COLUMN(E1)&gt;=13,90,365),((Data!E45+Data!D45)/2)/Data!E14*IF(COLUMN(E1)&gt;=13,90,365)),"-")</f>
        <v/>
      </c>
      <c r="F61" s="93">
        <f>IFERROR(IF(COLUMN(F1)=2,Data!F45/Data!F14*IF(COLUMN(F1)&gt;=13,90,365),((Data!F45+Data!E45)/2)/Data!F14*IF(COLUMN(F1)&gt;=13,90,365)),"-")</f>
        <v/>
      </c>
      <c r="G61" s="93">
        <f>IFERROR(IF(COLUMN(G1)=2,Data!G45/Data!G14*IF(COLUMN(G1)&gt;=13,90,365),((Data!G45+Data!F45)/2)/Data!G14*IF(COLUMN(G1)&gt;=13,90,365)),"-")</f>
        <v/>
      </c>
      <c r="H61" s="93">
        <f>IFERROR(IF(COLUMN(H1)=2,Data!H45/Data!H14*IF(COLUMN(H1)&gt;=13,90,365),((Data!H45+Data!G45)/2)/Data!H14*IF(COLUMN(H1)&gt;=13,90,365)),"-")</f>
        <v/>
      </c>
      <c r="I61" s="93">
        <f>IFERROR(IF(COLUMN(I1)=2,Data!I45/Data!I14*IF(COLUMN(I1)&gt;=13,90,365),((Data!I45+Data!H45)/2)/Data!I14*IF(COLUMN(I1)&gt;=13,90,365)),"-")</f>
        <v/>
      </c>
      <c r="J61" s="93">
        <f>IFERROR(IF(COLUMN(J1)=2,Data!J45/Data!J14*IF(COLUMN(J1)&gt;=13,90,365),((Data!J45+Data!I45)/2)/Data!J14*IF(COLUMN(J1)&gt;=13,90,365)),"-")</f>
        <v/>
      </c>
      <c r="K61" s="93">
        <f>IFERROR(IF(COLUMN(K1)=2,Data!K45/Data!K14*IF(COLUMN(K1)&gt;=13,90,365),((Data!K45+Data!J45)/2)/Data!K14*IF(COLUMN(K1)&gt;=13,90,365)),"-")</f>
        <v/>
      </c>
      <c r="L61" s="93">
        <f>IFERROR(IF(COLUMN(L1)=2,Data!L45/Data!L14*IF(COLUMN(L1)&gt;=13,90,365),((Data!L45+Data!K45)/2)/Data!L14*IF(COLUMN(L1)&gt;=13,90,365)),"-")</f>
        <v/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>
        <f>IFERROR(IF(COLUMN(B1)=2,Data!B15/Data!B46,Data!B15/((Data!B46+Data!B46)/2)),"-")</f>
        <v/>
      </c>
      <c r="C62" s="83">
        <f>IFERROR(IF(COLUMN(C1)=2,Data!C15/Data!C46,Data!C15/((Data!C46+Data!B46)/2)),"-")</f>
        <v/>
      </c>
      <c r="D62" s="83">
        <f>IFERROR(IF(COLUMN(D1)=2,Data!D15/Data!D46,Data!D15/((Data!D46+Data!C46)/2)),"-")</f>
        <v/>
      </c>
      <c r="E62" s="83">
        <f>IFERROR(IF(COLUMN(E1)=2,Data!E15/Data!E46,Data!E15/((Data!E46+Data!D46)/2)),"-")</f>
        <v/>
      </c>
      <c r="F62" s="83">
        <f>IFERROR(IF(COLUMN(F1)=2,Data!F15/Data!F46,Data!F15/((Data!F46+Data!E46)/2)),"-")</f>
        <v/>
      </c>
      <c r="G62" s="83">
        <f>IFERROR(IF(COLUMN(G1)=2,Data!G15/Data!G46,Data!G15/((Data!G46+Data!F46)/2)),"-")</f>
        <v/>
      </c>
      <c r="H62" s="83">
        <f>IFERROR(IF(COLUMN(H1)=2,Data!H15/Data!H46,Data!H15/((Data!H46+Data!G46)/2)),"-")</f>
        <v/>
      </c>
      <c r="I62" s="83">
        <f>IFERROR(IF(COLUMN(I1)=2,Data!I15/Data!I46,Data!I15/((Data!I46+Data!H46)/2)),"-")</f>
        <v/>
      </c>
      <c r="J62" s="83">
        <f>IFERROR(IF(COLUMN(J1)=2,Data!J15/Data!J46,Data!J15/((Data!J46+Data!I46)/2)),"-")</f>
        <v/>
      </c>
      <c r="K62" s="83">
        <f>IFERROR(IF(COLUMN(K1)=2,Data!K15/Data!K46,Data!K15/((Data!K46+Data!J46)/2)),"-")</f>
        <v/>
      </c>
      <c r="L62" s="83">
        <f>IFERROR(IF(COLUMN(L1)=2,Data!L15/Data!L46,Data!L15/((Data!L46+Data!K46)/2)),"-")</f>
        <v/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>
        <f>IFERROR(IF(COLUMN(B1)=2,Data!B46/Data!B15*IF(COLUMN(B1)&gt;=13,90,365),((Data!B46+Data!B46)/2)/Data!B15*IF(COLUMN(B1)&gt;=13,90,365)),"-")</f>
        <v/>
      </c>
      <c r="C63" s="93">
        <f>IFERROR(IF(COLUMN(C1)=2,Data!C46/Data!C15*IF(COLUMN(C1)&gt;=13,90,365),((Data!C46+Data!B46)/2)/Data!C15*IF(COLUMN(C1)&gt;=13,90,365)),"-")</f>
        <v/>
      </c>
      <c r="D63" s="93">
        <f>IFERROR(IF(COLUMN(D1)=2,Data!D46/Data!D15*IF(COLUMN(D1)&gt;=13,90,365),((Data!D46+Data!C46)/2)/Data!D15*IF(COLUMN(D1)&gt;=13,90,365)),"-")</f>
        <v/>
      </c>
      <c r="E63" s="93">
        <f>IFERROR(IF(COLUMN(E1)=2,Data!E46/Data!E15*IF(COLUMN(E1)&gt;=13,90,365),((Data!E46+Data!D46)/2)/Data!E15*IF(COLUMN(E1)&gt;=13,90,365)),"-")</f>
        <v/>
      </c>
      <c r="F63" s="93">
        <f>IFERROR(IF(COLUMN(F1)=2,Data!F46/Data!F15*IF(COLUMN(F1)&gt;=13,90,365),((Data!F46+Data!E46)/2)/Data!F15*IF(COLUMN(F1)&gt;=13,90,365)),"-")</f>
        <v/>
      </c>
      <c r="G63" s="93">
        <f>IFERROR(IF(COLUMN(G1)=2,Data!G46/Data!G15*IF(COLUMN(G1)&gt;=13,90,365),((Data!G46+Data!F46)/2)/Data!G15*IF(COLUMN(G1)&gt;=13,90,365)),"-")</f>
        <v/>
      </c>
      <c r="H63" s="93">
        <f>IFERROR(IF(COLUMN(H1)=2,Data!H46/Data!H15*IF(COLUMN(H1)&gt;=13,90,365),((Data!H46+Data!G46)/2)/Data!H15*IF(COLUMN(H1)&gt;=13,90,365)),"-")</f>
        <v/>
      </c>
      <c r="I63" s="93">
        <f>IFERROR(IF(COLUMN(I1)=2,Data!I46/Data!I15*IF(COLUMN(I1)&gt;=13,90,365),((Data!I46+Data!H46)/2)/Data!I15*IF(COLUMN(I1)&gt;=13,90,365)),"-")</f>
        <v/>
      </c>
      <c r="J63" s="93">
        <f>IFERROR(IF(COLUMN(J1)=2,Data!J46/Data!J15*IF(COLUMN(J1)&gt;=13,90,365),((Data!J46+Data!I46)/2)/Data!J15*IF(COLUMN(J1)&gt;=13,90,365)),"-")</f>
        <v/>
      </c>
      <c r="K63" s="93">
        <f>IFERROR(IF(COLUMN(K1)=2,Data!K46/Data!K15*IF(COLUMN(K1)&gt;=13,90,365),((Data!K46+Data!J46)/2)/Data!K15*IF(COLUMN(K1)&gt;=13,90,365)),"-")</f>
        <v/>
      </c>
      <c r="L63" s="93">
        <f>IFERROR(IF(COLUMN(L1)=2,Data!L46/Data!L15*IF(COLUMN(L1)&gt;=13,90,365),((Data!L46+Data!K46)/2)/Data!L15*IF(COLUMN(L1)&gt;=13,90,365)),"-")</f>
        <v/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>
        <f>IFERROR(B59+B61-B63,"-")</f>
        <v/>
      </c>
      <c r="C64" s="83">
        <f>IFERROR(C59+C61-C63,"-")</f>
        <v/>
      </c>
      <c r="D64" s="83">
        <f>IFERROR(D59+D61-D63,"-")</f>
        <v/>
      </c>
      <c r="E64" s="83">
        <f>IFERROR(E59+E61-E63,"-")</f>
        <v/>
      </c>
      <c r="F64" s="83">
        <f>IFERROR(F59+F61-F63,"-")</f>
        <v/>
      </c>
      <c r="G64" s="83">
        <f>IFERROR(G59+G61-G63,"-")</f>
        <v/>
      </c>
      <c r="H64" s="83">
        <f>IFERROR(H59+H61-H63,"-")</f>
        <v/>
      </c>
      <c r="I64" s="83">
        <f>IFERROR(I59+I61-I63,"-")</f>
        <v/>
      </c>
      <c r="J64" s="83">
        <f>IFERROR(J59+J61-J63,"-")</f>
        <v/>
      </c>
      <c r="K64" s="83">
        <f>IFERROR(K59+K61-K63,"-")</f>
        <v/>
      </c>
      <c r="L64" s="83">
        <f>IFERROR(L59+L61-L63,"-")</f>
        <v/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>
        <f>IFERROR(Data!B14/Data!B39,"-")</f>
        <v/>
      </c>
      <c r="C72" s="28">
        <f>IFERROR(Data!C14/Data!C39,"-")</f>
        <v/>
      </c>
      <c r="D72" s="28">
        <f>IFERROR(Data!D14/Data!D39,"-")</f>
        <v/>
      </c>
      <c r="E72" s="28">
        <f>IFERROR(Data!E14/Data!E39,"-")</f>
        <v/>
      </c>
      <c r="F72" s="28">
        <f>IFERROR(Data!F14/Data!F39,"-")</f>
        <v/>
      </c>
      <c r="G72" s="28">
        <f>IFERROR(Data!G14/Data!G39,"-")</f>
        <v/>
      </c>
      <c r="H72" s="28">
        <f>IFERROR(Data!H14/Data!H39,"-")</f>
        <v/>
      </c>
      <c r="I72" s="28">
        <f>IFERROR(Data!I14/Data!I39,"-")</f>
        <v/>
      </c>
      <c r="J72" s="28">
        <f>IFERROR(Data!J14/Data!J39,"-")</f>
        <v/>
      </c>
      <c r="K72" s="28">
        <f>IFERROR(Data!K14/Data!K39,"-")</f>
        <v/>
      </c>
      <c r="L72" s="28">
        <f>IFERROR(Data!L14/Data!L39,"-")</f>
        <v/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>
        <f>IFERROR(ABS(Data!B55)/Data!B26,"-")</f>
        <v/>
      </c>
      <c r="C73" s="81">
        <f>IFERROR(ABS(Data!C55)/Data!C26,"-")</f>
        <v/>
      </c>
      <c r="D73" s="81">
        <f>IFERROR(ABS(Data!D55)/Data!D26,"-")</f>
        <v/>
      </c>
      <c r="E73" s="81">
        <f>IFERROR(ABS(Data!E55)/Data!E26,"-")</f>
        <v/>
      </c>
      <c r="F73" s="81">
        <f>IFERROR(ABS(Data!F55)/Data!F26,"-")</f>
        <v/>
      </c>
      <c r="G73" s="81">
        <f>IFERROR(ABS(Data!G55)/Data!G26,"-")</f>
        <v/>
      </c>
      <c r="H73" s="81">
        <f>IFERROR(ABS(Data!H55)/Data!H26,"-")</f>
        <v/>
      </c>
      <c r="I73" s="81">
        <f>IFERROR(ABS(Data!I55)/Data!I26,"-")</f>
        <v/>
      </c>
      <c r="J73" s="81">
        <f>IFERROR(ABS(Data!J55)/Data!J26,"-")</f>
        <v/>
      </c>
      <c r="K73" s="81">
        <f>IFERROR(ABS(Data!K55)/Data!K26,"-")</f>
        <v/>
      </c>
      <c r="L73" s="81">
        <f>IFERROR(ABS(Data!L55)/Data!L26,"-")</f>
        <v/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>
        <f>IFERROR(Data!B53/Data!B26,"-")</f>
        <v/>
      </c>
      <c r="C76" s="84">
        <f>IFERROR(Data!C53/Data!C26,"-")</f>
        <v/>
      </c>
      <c r="D76" s="84">
        <f>IFERROR(Data!D53/Data!D26,"-")</f>
        <v/>
      </c>
      <c r="E76" s="84">
        <f>IFERROR(Data!E53/Data!E26,"-")</f>
        <v/>
      </c>
      <c r="F76" s="84">
        <f>IFERROR(Data!F53/Data!F26,"-")</f>
        <v/>
      </c>
      <c r="G76" s="84">
        <f>IFERROR(Data!G53/Data!G26,"-")</f>
        <v/>
      </c>
      <c r="H76" s="84">
        <f>IFERROR(Data!H53/Data!H26,"-")</f>
        <v/>
      </c>
      <c r="I76" s="84">
        <f>IFERROR(Data!I53/Data!I26,"-")</f>
        <v/>
      </c>
      <c r="J76" s="84">
        <f>IFERROR(Data!J53/Data!J26,"-")</f>
        <v/>
      </c>
      <c r="K76" s="84">
        <f>IFERROR(Data!K53/Data!K26,"-")</f>
        <v/>
      </c>
      <c r="L76" s="84">
        <f>IFERROR(Data!L53/Data!L26,"-")</f>
        <v/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>
        <f>IFERROR(ABS(Data!B52)/Data!B14,"-")</f>
        <v/>
      </c>
      <c r="C77" s="81">
        <f>IFERROR(ABS(Data!C52)/Data!C14,"-")</f>
        <v/>
      </c>
      <c r="D77" s="81">
        <f>IFERROR(ABS(Data!D52)/Data!D14,"-")</f>
        <v/>
      </c>
      <c r="E77" s="81">
        <f>IFERROR(ABS(Data!E52)/Data!E14,"-")</f>
        <v/>
      </c>
      <c r="F77" s="81">
        <f>IFERROR(ABS(Data!F52)/Data!F14,"-")</f>
        <v/>
      </c>
      <c r="G77" s="81">
        <f>IFERROR(ABS(Data!G52)/Data!G14,"-")</f>
        <v/>
      </c>
      <c r="H77" s="81">
        <f>IFERROR(ABS(Data!H52)/Data!H14,"-")</f>
        <v/>
      </c>
      <c r="I77" s="81">
        <f>IFERROR(ABS(Data!I52)/Data!I14,"-")</f>
        <v/>
      </c>
      <c r="J77" s="81">
        <f>IFERROR(ABS(Data!J52)/Data!J14,"-")</f>
        <v/>
      </c>
      <c r="K77" s="81">
        <f>IFERROR(ABS(Data!K52)/Data!K14,"-")</f>
        <v/>
      </c>
      <c r="L77" s="81">
        <f>IFERROR(ABS(Data!L52)/Data!L14,"-")</f>
        <v/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>
        <f>IFERROR(ABS(Data!B52)/Data!B21,"-")</f>
        <v/>
      </c>
      <c r="C78" s="83">
        <f>IFERROR(ABS(Data!C52)/Data!C21,"-")</f>
        <v/>
      </c>
      <c r="D78" s="83">
        <f>IFERROR(ABS(Data!D52)/Data!D21,"-")</f>
        <v/>
      </c>
      <c r="E78" s="83">
        <f>IFERROR(ABS(Data!E52)/Data!E21,"-")</f>
        <v/>
      </c>
      <c r="F78" s="83">
        <f>IFERROR(ABS(Data!F52)/Data!F21,"-")</f>
        <v/>
      </c>
      <c r="G78" s="83">
        <f>IFERROR(ABS(Data!G52)/Data!G21,"-")</f>
        <v/>
      </c>
      <c r="H78" s="83">
        <f>IFERROR(ABS(Data!H52)/Data!H21,"-")</f>
        <v/>
      </c>
      <c r="I78" s="83">
        <f>IFERROR(ABS(Data!I52)/Data!I21,"-")</f>
        <v/>
      </c>
      <c r="J78" s="83">
        <f>IFERROR(ABS(Data!J52)/Data!J21,"-")</f>
        <v/>
      </c>
      <c r="K78" s="83">
        <f>IFERROR(ABS(Data!K52)/Data!K21,"-")</f>
        <v/>
      </c>
      <c r="L78" s="83">
        <f>IFERROR(ABS(Data!L52)/Data!L21,"-")</f>
        <v/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>
        <f>IFERROR(Data!B36/Data!B20,"-")</f>
        <v/>
      </c>
      <c r="C80" s="83">
        <f>IFERROR(Data!C36/Data!C20,"-")</f>
        <v/>
      </c>
      <c r="D80" s="83">
        <f>IFERROR(Data!D36/Data!D20,"-")</f>
        <v/>
      </c>
      <c r="E80" s="83">
        <f>IFERROR(Data!E36/Data!E20,"-")</f>
        <v/>
      </c>
      <c r="F80" s="83">
        <f>IFERROR(Data!F36/Data!F20,"-")</f>
        <v/>
      </c>
      <c r="G80" s="83">
        <f>IFERROR(Data!G36/Data!G20,"-")</f>
        <v/>
      </c>
      <c r="H80" s="83">
        <f>IFERROR(Data!H36/Data!H20,"-")</f>
        <v/>
      </c>
      <c r="I80" s="83">
        <f>IFERROR(Data!I36/Data!I20,"-")</f>
        <v/>
      </c>
      <c r="J80" s="83">
        <f>IFERROR(Data!J36/Data!J20,"-")</f>
        <v/>
      </c>
      <c r="K80" s="83">
        <f>IFERROR(Data!K36/Data!K20,"-")</f>
        <v/>
      </c>
      <c r="L80" s="83">
        <f>IFERROR(Data!L36/Data!L20,"-")</f>
        <v/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>
        <f>IFERROR(Data!D25/Data!D24,"-")</f>
        <v/>
      </c>
      <c r="E81" s="81">
        <f>IFERROR(Data!E25/Data!E24,"-")</f>
        <v/>
      </c>
      <c r="F81" s="81">
        <f>IFERROR(Data!F25/Data!F24,"-")</f>
        <v/>
      </c>
      <c r="G81" s="81">
        <f>IFERROR(Data!G25/Data!G24,"-")</f>
        <v/>
      </c>
      <c r="H81" s="81">
        <f>IFERROR(Data!H25/Data!H24,"-")</f>
        <v/>
      </c>
      <c r="I81" s="81">
        <f>IFERROR(Data!I25/Data!I24,"-")</f>
        <v/>
      </c>
      <c r="J81" s="81">
        <f>IFERROR(Data!J25/Data!J24,"-")</f>
        <v/>
      </c>
      <c r="K81" s="81">
        <f>IFERROR(Data!K25/Data!K24,"-")</f>
        <v/>
      </c>
      <c r="L81" s="81">
        <f>IFERROR(Data!L25/Data!L24,"-")</f>
        <v/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>
        <f>IFERROR(ABS(Data!B55)/Data!B28,"-")</f>
        <v/>
      </c>
      <c r="C86" s="22">
        <f>IFERROR(ABS(Data!C55)/Data!C28,"-")</f>
        <v/>
      </c>
      <c r="D86" s="22">
        <f>IFERROR(ABS(Data!D55)/Data!D28,"-")</f>
        <v/>
      </c>
      <c r="E86" s="22">
        <f>IFERROR(ABS(Data!E55)/Data!E28,"-")</f>
        <v/>
      </c>
      <c r="F86" s="22">
        <f>IFERROR(ABS(Data!F55)/Data!F28,"-")</f>
        <v/>
      </c>
      <c r="G86" s="22">
        <f>IFERROR(ABS(Data!G55)/Data!G28,"-")</f>
        <v/>
      </c>
      <c r="H86" s="22">
        <f>IFERROR(ABS(Data!H55)/Data!H28,"-")</f>
        <v/>
      </c>
      <c r="I86" s="22">
        <f>IFERROR(ABS(Data!I55)/Data!I28,"-")</f>
        <v/>
      </c>
      <c r="J86" s="22">
        <f>IFERROR(ABS(Data!J55)/Data!J28,"-")</f>
        <v/>
      </c>
      <c r="K86" s="22">
        <f>IFERROR(ABS(Data!K55)/Data!K28,"-")</f>
        <v/>
      </c>
      <c r="L86" s="22">
        <f>IFERROR(ABS(Data!L55)/Data!L28,"-")</f>
        <v/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IFERROR(ABS(Data!H55)/(Data!B8*Data!H28),"-")</f>
        <v/>
      </c>
      <c r="I87" s="8">
        <f>IFERROR(ABS(Data!I55)/(Data!B8*Data!I28),"-")</f>
        <v/>
      </c>
      <c r="J87" s="8">
        <f>IFERROR(ABS(Data!J55)/(Data!B8*Data!J28),"-")</f>
        <v/>
      </c>
      <c r="K87" s="8">
        <f>IFERROR(ABS(Data!K55)/(Data!B8*Data!K28),"-")</f>
        <v/>
      </c>
      <c r="L87" s="8">
        <f>IFERROR(ABS(Data!L55)/(Data!B8*Data!L28),"-")</f>
        <v/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>
        <f>IFERROR(Data!D54/Data!D26,"-")</f>
        <v/>
      </c>
      <c r="E88" s="90">
        <f>IFERROR(Data!E54/Data!E26,"-")</f>
        <v/>
      </c>
      <c r="F88" s="90">
        <f>IFERROR(Data!F54/Data!F26,"-")</f>
        <v/>
      </c>
      <c r="G88" s="90">
        <f>IFERROR(Data!G54/Data!G26,"-")</f>
        <v/>
      </c>
      <c r="H88" s="90">
        <f>IFERROR(Data!H54/Data!H26,"-")</f>
        <v/>
      </c>
      <c r="I88" s="90">
        <f>IFERROR(Data!I54/Data!I26,"-")</f>
        <v/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IFERROR((ABS(Data!H55)+ABS(Data!H56))/(Data!B8*Data!H28),"-")</f>
        <v/>
      </c>
      <c r="I90" s="90">
        <f>IFERROR((ABS(Data!I55)+ABS(Data!I56))/(Data!B8*Data!I28),"-")</f>
        <v/>
      </c>
      <c r="J90" s="90">
        <f>IFERROR((ABS(Data!J55)+ABS(Data!J56))/(Data!B8*Data!J28),"-")</f>
        <v/>
      </c>
      <c r="K90" s="90">
        <f>IFERROR((ABS(Data!K55)+ABS(Data!K56))/(Data!B8*Data!K28),"-")</f>
        <v/>
      </c>
      <c r="L90" s="90">
        <f>IFERROR((ABS(Data!L55)+ABS(Data!L56))/(Data!B8*Data!L28),"-")</f>
        <v/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IFERROR(Data!B8/Data!H27,"-")</f>
        <v/>
      </c>
      <c r="I95" s="91">
        <f>IFERROR(Data!B8/Data!I27,"-")</f>
        <v/>
      </c>
      <c r="J95" s="91">
        <f>IFERROR(Data!B8/Data!J27,"-")</f>
        <v/>
      </c>
      <c r="K95" s="91">
        <f>IFERROR(Data!B8/Data!K27,"-")</f>
        <v/>
      </c>
      <c r="L95" s="91">
        <f>IFERROR(Data!B8/Data!L27,"-")</f>
        <v/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IFERROR(Data!B8/(Data!H14/Data!H28),"-")</f>
        <v/>
      </c>
      <c r="I96" s="92">
        <f>IFERROR(Data!B8/(Data!I14/Data!I28),"-")</f>
        <v/>
      </c>
      <c r="J96" s="92">
        <f>IFERROR(Data!B8/(Data!J14/Data!J28),"-")</f>
        <v/>
      </c>
      <c r="K96" s="92">
        <f>IFERROR(Data!B8/(Data!K14/Data!K28),"-")</f>
        <v/>
      </c>
      <c r="L96" s="92">
        <f>IFERROR(Data!B8/(Data!L14/Data!L28),"-")</f>
        <v/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IFERROR(Data!B8/(Data!H41/Data!H28),"-")</f>
        <v/>
      </c>
      <c r="I97" s="2">
        <f>IFERROR(Data!B8/(Data!I41/Data!I28),"-")</f>
        <v/>
      </c>
      <c r="J97" s="2">
        <f>IFERROR(Data!B8/(Data!J41/Data!J28),"-")</f>
        <v/>
      </c>
      <c r="K97" s="2">
        <f>IFERROR(Data!B8/(Data!K41/Data!K28),"-")</f>
        <v/>
      </c>
      <c r="L97" s="2">
        <f>IFERROR(Data!B8/(Data!L41/Data!L28),"-")</f>
        <v/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IFERROR(Data!B8/(Data!H53/Data!H28),"-")</f>
        <v/>
      </c>
      <c r="I98" s="92">
        <f>IFERROR(Data!B8/(Data!I53/Data!I28),"-")</f>
        <v/>
      </c>
      <c r="J98" s="92">
        <f>IFERROR(Data!B8/(Data!J53/Data!J28),"-")</f>
        <v/>
      </c>
      <c r="K98" s="92">
        <f>IFERROR(Data!B8/(Data!K53/Data!K28),"-")</f>
        <v/>
      </c>
      <c r="L98" s="92">
        <f>IFERROR(Data!B8/(Data!L53/Data!L28),"-")</f>
        <v/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IFERROR((Data!B8*Data!H28+Data!H36+Data!H42)/Data!H20,"-")</f>
        <v/>
      </c>
      <c r="I99" s="91">
        <f>IFERROR((Data!B8*Data!I28+Data!I36+Data!I42)/Data!I20,"-")</f>
        <v/>
      </c>
      <c r="J99" s="91">
        <f>IFERROR((Data!B8*Data!J28+Data!J36+Data!J42)/Data!J20,"-")</f>
        <v/>
      </c>
      <c r="K99" s="91">
        <f>IFERROR((Data!B8*Data!K28+Data!K36+Data!K42)/Data!K20,"-")</f>
        <v/>
      </c>
      <c r="L99" s="91">
        <f>IFERROR((Data!B8*Data!L28+Data!L36+Data!L42)/Data!L20,"-")</f>
        <v/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IFERROR((Data!B8*Data!H28+Data!H36+Data!H42)/Data!H22,"-")</f>
        <v/>
      </c>
      <c r="I100" s="92">
        <f>IFERROR((Data!B8*Data!I28+Data!I36+Data!I42)/Data!I22,"-")</f>
        <v/>
      </c>
      <c r="J100" s="92">
        <f>IFERROR((Data!B8*Data!J28+Data!J36+Data!J42)/Data!J22,"-")</f>
        <v/>
      </c>
      <c r="K100" s="92">
        <f>IFERROR((Data!B8*Data!K28+Data!K36+Data!K42)/Data!K22,"-")</f>
        <v/>
      </c>
      <c r="L100" s="92">
        <f>IFERROR((Data!B8*Data!L28+Data!L36+Data!L42)/Data!L22,"-")</f>
        <v/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IFERROR(Data!H53/(Data!B8*Data!H28),"-")</f>
        <v/>
      </c>
      <c r="I101" s="90">
        <f>IFERROR(Data!I53/(Data!B8*Data!I28),"-")</f>
        <v/>
      </c>
      <c r="J101" s="90">
        <f>IFERROR(Data!J53/(Data!B8*Data!J28),"-")</f>
        <v/>
      </c>
      <c r="K101" s="90">
        <f>IFERROR(Data!K53/(Data!B8*Data!K28),"-")</f>
        <v/>
      </c>
      <c r="L101" s="90">
        <f>IFERROR(Data!L53/(Data!B8*Data!L28),"-")</f>
        <v/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IFERROR(Data!H26/(Data!B8*Data!H28),"-")</f>
        <v/>
      </c>
      <c r="I102" s="89">
        <f>IFERROR(Data!I26/(Data!B8*Data!I28),"-")</f>
        <v/>
      </c>
      <c r="J102" s="89">
        <f>IFERROR(Data!J26/(Data!B8*Data!J28),"-")</f>
        <v/>
      </c>
      <c r="K102" s="89">
        <f>IFERROR(Data!K26/(Data!B8*Data!K28),"-")</f>
        <v/>
      </c>
      <c r="L102" s="89">
        <f>IFERROR(Data!L26/(Data!B8*Data!L28),"-")</f>
        <v/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>
        <f>IFERROR((Data!B37-Data!B38)/Data!B39,"-")</f>
        <v/>
      </c>
      <c r="C107" s="93">
        <f>IFERROR((Data!C37-Data!C38)/Data!C39,"-")</f>
        <v/>
      </c>
      <c r="D107" s="93">
        <f>IFERROR((Data!D37-Data!D38)/Data!D39,"-")</f>
        <v/>
      </c>
      <c r="E107" s="93">
        <f>IFERROR((Data!E37-Data!E38)/Data!E39,"-")</f>
        <v/>
      </c>
      <c r="F107" s="93">
        <f>IFERROR((Data!F37-Data!F38)/Data!F39,"-")</f>
        <v/>
      </c>
      <c r="G107" s="93">
        <f>IFERROR((Data!G37-Data!G38)/Data!G39,"-")</f>
        <v/>
      </c>
      <c r="H107" s="93">
        <f>IFERROR((Data!H37-Data!H38)/Data!H39,"-")</f>
        <v/>
      </c>
      <c r="I107" s="93">
        <f>IFERROR((Data!I37-Data!I38)/Data!I39,"-")</f>
        <v/>
      </c>
      <c r="J107" s="93">
        <f>IFERROR((Data!J37-Data!J38)/Data!J39,"-")</f>
        <v/>
      </c>
      <c r="K107" s="93">
        <f>IFERROR((Data!K37-Data!K38)/Data!K39,"-")</f>
        <v/>
      </c>
      <c r="L107" s="93">
        <f>IFERROR((Data!L37-Data!L38)/Data!L39,"-")</f>
        <v/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>
        <f>IFERROR(Data!B48/Data!B39,"-")</f>
        <v/>
      </c>
      <c r="C108" s="83">
        <f>IFERROR(Data!C48/Data!C39,"-")</f>
        <v/>
      </c>
      <c r="D108" s="83">
        <f>IFERROR(Data!D48/Data!D39,"-")</f>
        <v/>
      </c>
      <c r="E108" s="83">
        <f>IFERROR(Data!E48/Data!E39,"-")</f>
        <v/>
      </c>
      <c r="F108" s="83">
        <f>IFERROR(Data!F48/Data!F39,"-")</f>
        <v/>
      </c>
      <c r="G108" s="83">
        <f>IFERROR(Data!G48/Data!G39,"-")</f>
        <v/>
      </c>
      <c r="H108" s="83">
        <f>IFERROR(Data!H48/Data!H39,"-")</f>
        <v/>
      </c>
      <c r="I108" s="83">
        <f>IFERROR(Data!I48/Data!I39,"-")</f>
        <v/>
      </c>
      <c r="J108" s="83">
        <f>IFERROR(Data!J48/Data!J39,"-")</f>
        <v/>
      </c>
      <c r="K108" s="83">
        <f>IFERROR(Data!K48/Data!K39,"-")</f>
        <v/>
      </c>
      <c r="L108" s="83">
        <f>IFERROR(Data!L48/Data!L39,"-")</f>
        <v/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>
        <f>IFERROR(Data!B22/Data!B39,"-")</f>
        <v/>
      </c>
      <c r="C109" s="93">
        <f>IFERROR(Data!C22/Data!C39,"-")</f>
        <v/>
      </c>
      <c r="D109" s="93">
        <f>IFERROR(Data!D22/Data!D39,"-")</f>
        <v/>
      </c>
      <c r="E109" s="93">
        <f>IFERROR(Data!E22/Data!E39,"-")</f>
        <v/>
      </c>
      <c r="F109" s="93">
        <f>IFERROR(Data!F22/Data!F39,"-")</f>
        <v/>
      </c>
      <c r="G109" s="93">
        <f>IFERROR(Data!G22/Data!G39,"-")</f>
        <v/>
      </c>
      <c r="H109" s="93">
        <f>IFERROR(Data!H22/Data!H39,"-")</f>
        <v/>
      </c>
      <c r="I109" s="93">
        <f>IFERROR(Data!I22/Data!I39,"-")</f>
        <v/>
      </c>
      <c r="J109" s="93">
        <f>IFERROR(Data!J22/Data!J39,"-")</f>
        <v/>
      </c>
      <c r="K109" s="93">
        <f>IFERROR(Data!K22/Data!K39,"-")</f>
        <v/>
      </c>
      <c r="L109" s="93">
        <f>IFERROR(Data!L22/Data!L39,"-")</f>
        <v/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>
        <f>IFERROR(Data!B41/Data!B40,"-")</f>
        <v/>
      </c>
      <c r="C110" s="83">
        <f>IFERROR(Data!C41/Data!C40,"-")</f>
        <v/>
      </c>
      <c r="D110" s="83">
        <f>IFERROR(Data!D41/Data!D40,"-")</f>
        <v/>
      </c>
      <c r="E110" s="83">
        <f>IFERROR(Data!E41/Data!E40,"-")</f>
        <v/>
      </c>
      <c r="F110" s="83">
        <f>IFERROR(Data!F41/Data!F40,"-")</f>
        <v/>
      </c>
      <c r="G110" s="83">
        <f>IFERROR(Data!G41/Data!G40,"-")</f>
        <v/>
      </c>
      <c r="H110" s="83">
        <f>IFERROR(Data!H41/Data!H40,"-")</f>
        <v/>
      </c>
      <c r="I110" s="83">
        <f>IFERROR(Data!I41/Data!I40,"-")</f>
        <v/>
      </c>
      <c r="J110" s="83">
        <f>IFERROR(Data!J41/Data!J40,"-")</f>
        <v/>
      </c>
      <c r="K110" s="83">
        <f>IFERROR(Data!K41/Data!K40,"-")</f>
        <v/>
      </c>
      <c r="L110" s="83">
        <f>IFERROR(Data!L41/Data!L40,"-")</f>
        <v/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>
        <f>IFERROR(Data!B14/Data!B39,"-")</f>
        <v/>
      </c>
      <c r="C111" s="93">
        <f>IFERROR(Data!C14/Data!C39,"-")</f>
        <v/>
      </c>
      <c r="D111" s="93">
        <f>IFERROR(Data!D14/Data!D39,"-")</f>
        <v/>
      </c>
      <c r="E111" s="93">
        <f>IFERROR(Data!E14/Data!E39,"-")</f>
        <v/>
      </c>
      <c r="F111" s="93">
        <f>IFERROR(Data!F14/Data!F39,"-")</f>
        <v/>
      </c>
      <c r="G111" s="93">
        <f>IFERROR(Data!G14/Data!G39,"-")</f>
        <v/>
      </c>
      <c r="H111" s="93">
        <f>IFERROR(Data!H14/Data!H39,"-")</f>
        <v/>
      </c>
      <c r="I111" s="93">
        <f>IFERROR(Data!I14/Data!I39,"-")</f>
        <v/>
      </c>
      <c r="J111" s="93">
        <f>IFERROR(Data!J14/Data!J39,"-")</f>
        <v/>
      </c>
      <c r="K111" s="93">
        <f>IFERROR(Data!K14/Data!K39,"-")</f>
        <v/>
      </c>
      <c r="L111" s="93">
        <f>IFERROR(Data!L14/Data!L39,"-")</f>
        <v/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>
        <f>IFERROR(1.2*B107+1.4*B108+3.3*B109+0.6*B110+1*B111,"-")</f>
        <v/>
      </c>
      <c r="C112" s="83">
        <f>IFERROR(1.2*C107+1.4*C108+3.3*C109+0.6*C110+1*C111,"-")</f>
        <v/>
      </c>
      <c r="D112" s="83">
        <f>IFERROR(1.2*D107+1.4*D108+3.3*D109+0.6*D110+1*D111,"-")</f>
        <v/>
      </c>
      <c r="E112" s="83">
        <f>IFERROR(1.2*E107+1.4*E108+3.3*E109+0.6*E110+1*E111,"-")</f>
        <v/>
      </c>
      <c r="F112" s="83">
        <f>IFERROR(1.2*F107+1.4*F108+3.3*F109+0.6*F110+1*F111,"-")</f>
        <v/>
      </c>
      <c r="G112" s="83">
        <f>IFERROR(1.2*G107+1.4*G108+3.3*G109+0.6*G110+1*G111,"-")</f>
        <v/>
      </c>
      <c r="H112" s="83">
        <f>IFERROR(1.2*H107+1.4*H108+3.3*H109+0.6*H110+1*H111,"-")</f>
        <v/>
      </c>
      <c r="I112" s="83">
        <f>IFERROR(1.2*I107+1.4*I108+3.3*I109+0.6*I110+1*I111,"-")</f>
        <v/>
      </c>
      <c r="J112" s="83">
        <f>IFERROR(1.2*J107+1.4*J108+3.3*J109+0.6*J110+1*J111,"-")</f>
        <v/>
      </c>
      <c r="K112" s="83">
        <f>IFERROR(1.2*K107+1.4*K108+3.3*K109+0.6*K110+1*K111,"-")</f>
        <v/>
      </c>
      <c r="L112" s="83">
        <f>IFERROR(1.2*L107+1.4*L108+3.3*L109+0.6*L110+1*L111,"-")</f>
        <v/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>
        <f>IFERROR(Data!B26/Data!B14,"-")</f>
        <v/>
      </c>
      <c r="C118" s="81">
        <f>IFERROR(Data!C26/Data!C14,"-")</f>
        <v/>
      </c>
      <c r="D118" s="81">
        <f>IFERROR(Data!D26/Data!D14,"-")</f>
        <v/>
      </c>
      <c r="E118" s="81">
        <f>IFERROR(Data!E26/Data!E14,"-")</f>
        <v/>
      </c>
      <c r="F118" s="81">
        <f>IFERROR(Data!F26/Data!F14,"-")</f>
        <v/>
      </c>
      <c r="G118" s="81">
        <f>IFERROR(Data!G26/Data!G14,"-")</f>
        <v/>
      </c>
      <c r="H118" s="81">
        <f>IFERROR(Data!H26/Data!H14,"-")</f>
        <v/>
      </c>
      <c r="I118" s="81">
        <f>IFERROR(Data!I26/Data!I14,"-")</f>
        <v/>
      </c>
      <c r="J118" s="81">
        <f>IFERROR(Data!J26/Data!J14,"-")</f>
        <v/>
      </c>
      <c r="K118" s="81">
        <f>IFERROR(Data!K26/Data!K14,"-")</f>
        <v/>
      </c>
      <c r="L118" s="81">
        <f>IFERROR(Data!L26/Data!L14,"-")</f>
        <v/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>
        <f>IFERROR(Data!B14/Data!B39,"-")</f>
        <v/>
      </c>
      <c r="C119" s="83">
        <f>IFERROR(Data!C14/Data!C39,"-")</f>
        <v/>
      </c>
      <c r="D119" s="83">
        <f>IFERROR(Data!D14/Data!D39,"-")</f>
        <v/>
      </c>
      <c r="E119" s="83">
        <f>IFERROR(Data!E14/Data!E39,"-")</f>
        <v/>
      </c>
      <c r="F119" s="83">
        <f>IFERROR(Data!F14/Data!F39,"-")</f>
        <v/>
      </c>
      <c r="G119" s="83">
        <f>IFERROR(Data!G14/Data!G39,"-")</f>
        <v/>
      </c>
      <c r="H119" s="83">
        <f>IFERROR(Data!H14/Data!H39,"-")</f>
        <v/>
      </c>
      <c r="I119" s="83">
        <f>IFERROR(Data!I14/Data!I39,"-")</f>
        <v/>
      </c>
      <c r="J119" s="83">
        <f>IFERROR(Data!J14/Data!J39,"-")</f>
        <v/>
      </c>
      <c r="K119" s="83">
        <f>IFERROR(Data!K14/Data!K39,"-")</f>
        <v/>
      </c>
      <c r="L119" s="83">
        <f>IFERROR(Data!L14/Data!L39,"-")</f>
        <v/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>
        <f>IFERROR(Data!B39/Data!B41,"-")</f>
        <v/>
      </c>
      <c r="C120" s="93">
        <f>IFERROR(Data!C39/Data!C41,"-")</f>
        <v/>
      </c>
      <c r="D120" s="93">
        <f>IFERROR(Data!D39/Data!D41,"-")</f>
        <v/>
      </c>
      <c r="E120" s="93">
        <f>IFERROR(Data!E39/Data!E41,"-")</f>
        <v/>
      </c>
      <c r="F120" s="93">
        <f>IFERROR(Data!F39/Data!F41,"-")</f>
        <v/>
      </c>
      <c r="G120" s="93">
        <f>IFERROR(Data!G39/Data!G41,"-")</f>
        <v/>
      </c>
      <c r="H120" s="93">
        <f>IFERROR(Data!H39/Data!H41,"-")</f>
        <v/>
      </c>
      <c r="I120" s="93">
        <f>IFERROR(Data!I39/Data!I41,"-")</f>
        <v/>
      </c>
      <c r="J120" s="93">
        <f>IFERROR(Data!J39/Data!J41,"-")</f>
        <v/>
      </c>
      <c r="K120" s="93">
        <f>IFERROR(Data!K39/Data!K41,"-")</f>
        <v/>
      </c>
      <c r="L120" s="93">
        <f>IFERROR(Data!L39/Data!L41,"-")</f>
        <v/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>
        <f>IFERROR(B118*B119*B120,"-")</f>
        <v/>
      </c>
      <c r="C121" s="84">
        <f>IFERROR(C118*C119*C120,"-")</f>
        <v/>
      </c>
      <c r="D121" s="84">
        <f>IFERROR(D118*D119*D120,"-")</f>
        <v/>
      </c>
      <c r="E121" s="84">
        <f>IFERROR(E118*E119*E120,"-")</f>
        <v/>
      </c>
      <c r="F121" s="84">
        <f>IFERROR(F118*F119*F120,"-")</f>
        <v/>
      </c>
      <c r="G121" s="84">
        <f>IFERROR(G118*G119*G120,"-")</f>
        <v/>
      </c>
      <c r="H121" s="84">
        <f>IFERROR(H118*H119*H120,"-")</f>
        <v/>
      </c>
      <c r="I121" s="84">
        <f>IFERROR(I118*I119*I120,"-")</f>
        <v/>
      </c>
      <c r="J121" s="84">
        <f>IFERROR(J118*J119*J120,"-")</f>
        <v/>
      </c>
      <c r="K121" s="84">
        <f>IFERROR(K118*K119*K120,"-")</f>
        <v/>
      </c>
      <c r="L121" s="84">
        <f>IFERROR(L118*L119*L120,"-")</f>
        <v/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>
        <f>IFERROR(Data!D26/Data!D24,"-")</f>
        <v/>
      </c>
      <c r="E123" s="83">
        <f>IFERROR(Data!E26/Data!E24,"-")</f>
        <v/>
      </c>
      <c r="F123" s="83">
        <f>IFERROR(Data!F26/Data!F24,"-")</f>
        <v/>
      </c>
      <c r="G123" s="83">
        <f>IFERROR(Data!G26/Data!G24,"-")</f>
        <v/>
      </c>
      <c r="H123" s="83">
        <f>IFERROR(Data!H26/Data!H24,"-")</f>
        <v/>
      </c>
      <c r="I123" s="83">
        <f>IFERROR(Data!I26/Data!I24,"-")</f>
        <v/>
      </c>
      <c r="J123" s="83">
        <f>IFERROR(Data!J26/Data!J24,"-")</f>
        <v/>
      </c>
      <c r="K123" s="83">
        <f>IFERROR(Data!K26/Data!K24,"-")</f>
        <v/>
      </c>
      <c r="L123" s="83">
        <f>IFERROR(Data!L26/Data!L24,"-")</f>
        <v/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>
        <f>IFERROR(Data!D24/Data!D22,"-")</f>
        <v/>
      </c>
      <c r="E124" s="93">
        <f>IFERROR(Data!E24/Data!E22,"-")</f>
        <v/>
      </c>
      <c r="F124" s="93">
        <f>IFERROR(Data!F24/Data!F22,"-")</f>
        <v/>
      </c>
      <c r="G124" s="93">
        <f>IFERROR(Data!G24/Data!G22,"-")</f>
        <v/>
      </c>
      <c r="H124" s="93">
        <f>IFERROR(Data!H24/Data!H22,"-")</f>
        <v/>
      </c>
      <c r="I124" s="93">
        <f>IFERROR(Data!I24/Data!I22,"-")</f>
        <v/>
      </c>
      <c r="J124" s="93">
        <f>IFERROR(Data!J24/Data!J22,"-")</f>
        <v/>
      </c>
      <c r="K124" s="93">
        <f>IFERROR(Data!K24/Data!K22,"-")</f>
        <v/>
      </c>
      <c r="L124" s="93">
        <f>IFERROR(Data!L24/Data!L22,"-")</f>
        <v/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>
        <f>IFERROR(Data!B22/Data!B14,"-")</f>
        <v/>
      </c>
      <c r="C125" s="84">
        <f>IFERROR(Data!C22/Data!C14,"-")</f>
        <v/>
      </c>
      <c r="D125" s="84">
        <f>IFERROR(Data!D22/Data!D14,"-")</f>
        <v/>
      </c>
      <c r="E125" s="84">
        <f>IFERROR(Data!E22/Data!E14,"-")</f>
        <v/>
      </c>
      <c r="F125" s="84">
        <f>IFERROR(Data!F22/Data!F14,"-")</f>
        <v/>
      </c>
      <c r="G125" s="84">
        <f>IFERROR(Data!G22/Data!G14,"-")</f>
        <v/>
      </c>
      <c r="H125" s="84">
        <f>IFERROR(Data!H22/Data!H14,"-")</f>
        <v/>
      </c>
      <c r="I125" s="84">
        <f>IFERROR(Data!I22/Data!I14,"-")</f>
        <v/>
      </c>
      <c r="J125" s="84">
        <f>IFERROR(Data!J22/Data!J14,"-")</f>
        <v/>
      </c>
      <c r="K125" s="84">
        <f>IFERROR(Data!K22/Data!K14,"-")</f>
        <v/>
      </c>
      <c r="L125" s="84">
        <f>IFERROR(Data!L22/Data!L14,"-")</f>
        <v/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>
        <f>IFERROR((Data!L14/Data!I14)^(1/3)-1,"-")</f>
        <v/>
      </c>
      <c r="C153" s="84">
        <f>IFERROR((Data!L14/Data!G14)^(1/5)-1,"-")</f>
        <v/>
      </c>
      <c r="D153" s="84">
        <f>IFERROR((Data!L14/Data!B14)^(1/10)-1,"-")</f>
        <v/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IFERROR((Data!L20/Data!I20)^(1/3)-1,"-")</f>
        <v/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>
        <f>IFERROR((Data!L26/Data!I26)^(1/3)-1,"-")</f>
        <v/>
      </c>
      <c r="C155" s="84">
        <f>IFERROR((Data!L26/Data!G26)^(1/5)-1,"-")</f>
        <v/>
      </c>
      <c r="D155" s="84">
        <f>IFERROR((Data!L26/Data!B26)^(1/10)-1,"-")</f>
        <v/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>
        <f>IFERROR((Data!L27/Data!I27)^(1/3)-1,"-")</f>
        <v/>
      </c>
      <c r="C156" s="81">
        <f>IFERROR((Data!L27/Data!G27)^(1/5)-1,"-")</f>
        <v/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>
        <f>IFERROR((Data!L53/Data!I53)^(1/3)-1,"-")</f>
        <v/>
      </c>
      <c r="C157" s="84">
        <f>IFERROR((Data!L53/Data!G53)^(1/5)-1,"-")</f>
        <v/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>
        <f>IFERROR((Data!L51/Data!I51)^(1/3)-1,"-")</f>
        <v/>
      </c>
      <c r="C158" s="81">
        <f>IFERROR((Data!L51/Data!G51)^(1/5)-1,"-")</f>
        <v/>
      </c>
      <c r="D158" s="81">
        <f>IFERROR((Data!L51/Data!B51)^(1/10)-1,"-")</f>
        <v/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>
        <f>IFERROR((ABS(Data!L55)/Data!L28/(ABS(Data!I55)/Data!I28))^(1/3)-1,"-")</f>
        <v/>
      </c>
      <c r="C159" s="84">
        <f>IFERROR((ABS(Data!L55)/Data!L28/(ABS(Data!G55)/Data!G28))^(1/5)-1,"-")</f>
        <v/>
      </c>
      <c r="D159" s="84">
        <f>IFERROR((ABS(Data!L55)/Data!L28/(ABS(Data!B55)/Data!B28))^(1/10)-1,"-")</f>
        <v/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>
        <f>IFERROR((Data!L28/Data!I28)^(1/3)-1,"-")</f>
        <v/>
      </c>
      <c r="C160" s="84">
        <f>IFERROR((Data!L28/Data!G28)^(1/5)-1,"-")</f>
        <v/>
      </c>
      <c r="D160" s="84">
        <f>IFERROR((Data!L28/Data!B28)^(1/10)-1,"-")</f>
        <v/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2026-05-30T15:44:18Z</dcterms:modified>
  <cp:lastModifiedBy>Francesco Laconi</cp:lastModifiedBy>
  <cp:revision>16</cp:revision>
</cp:coreProperties>
</file>