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'Dashboard'!$A$1:$M$276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  <font>
      <name val="Helvetica"/>
      <color rgb="00808080"/>
      <sz val="9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8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2" fontId="0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51" fillId="0" borderId="8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0" fontId="18" fillId="6" borderId="7" applyAlignment="1" pivotButton="0" quotePrefix="0" xfId="0">
      <alignment horizontal="right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  <xf numFmtId="0" fontId="55" fillId="8" borderId="0" applyAlignment="1" pivotButton="0" quotePrefix="0" xfId="0">
      <alignment horizontal="center" vertical="center"/>
    </xf>
    <xf numFmtId="168" fontId="42" fillId="10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'Data'!$D$13:$L$13</f>
            </numRef>
          </cat>
          <val>
            <numRef>
              <f>'Metrics'!$D$6:$L$6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'Data'!$D$13:$L$13</f>
            </numRef>
          </cat>
          <val>
            <numRef>
              <f>'ChartData'!$D$3:$L$3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image" Target="/xl/media/image1.png" Id="rId6"/><Relationship Type="http://schemas.openxmlformats.org/officeDocument/2006/relationships/image" Target="/xl/media/image2.png" Id="rId7"/><Relationship Type="http://schemas.openxmlformats.org/officeDocument/2006/relationships/image" Target="/xl/media/image3.png" Id="rId8"/><Relationship Type="http://schemas.openxmlformats.org/officeDocument/2006/relationships/image" Target="/xl/media/image4.png" Id="rId9"/><Relationship Type="http://schemas.openxmlformats.org/officeDocument/2006/relationships/image" Target="/xl/media/image5.png" Id="rId10"/></Relationships>
</file>

<file path=xl/drawings/_rels/drawing2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1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70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15</row>
      <rowOff>0</rowOff>
    </from>
    <ext cx="6096000" cy="337185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41</row>
      <rowOff>0</rowOff>
    </from>
    <ext cx="6096000" cy="337185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203</row>
      <rowOff>0</rowOff>
    </from>
    <ext cx="6096000" cy="33909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247</row>
      <rowOff>0</rowOff>
    </from>
    <ext cx="6096000" cy="3076575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9" t="inlineStr">
        <is>
          <t>CRWD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40" t="inlineStr">
        <is>
          <t>Business, Returns &amp; Capital Allocation</t>
        </is>
      </c>
      <c r="B13" s="441" t="n"/>
      <c r="C13" s="441" t="n"/>
      <c r="D13" s="441" t="n"/>
      <c r="E13" s="441" t="n"/>
      <c r="F13" s="441" t="n"/>
      <c r="G13" s="441" t="n"/>
      <c r="H13" s="441" t="n"/>
      <c r="I13" s="441" t="n"/>
      <c r="J13" s="441" t="n"/>
      <c r="K13" s="441" t="n"/>
      <c r="L13" s="441" t="n"/>
      <c r="M13" s="441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3" t="inlineStr">
        <is>
          <t>Revenue &amp; EBIT by Geography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3" t="inlineStr">
        <is>
          <t>Revenue &amp; Net Income by Segment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35" t="n"/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40" t="inlineStr">
        <is>
          <t>Financial Performance (10-Year)</t>
        </is>
      </c>
      <c r="B68" s="441" t="n"/>
      <c r="C68" s="441" t="n"/>
      <c r="D68" s="441" t="n"/>
      <c r="E68" s="441" t="n"/>
      <c r="F68" s="441" t="n"/>
      <c r="G68" s="441" t="n"/>
      <c r="H68" s="441" t="n"/>
      <c r="I68" s="441" t="n"/>
      <c r="J68" s="441" t="n"/>
      <c r="K68" s="441" t="n"/>
      <c r="L68" s="441" t="n"/>
      <c r="M68" s="441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43" t="inlineStr">
        <is>
          <t>Revenue &amp; Operating Income</t>
        </is>
      </c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43" t="inlineStr">
        <is>
          <t>Operating Margin Trend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3" t="inlineStr">
        <is>
          <t>GAAP EPS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3" t="inlineStr">
        <is>
          <t>Free Cash Flow vs. Net Income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3" t="inlineStr">
        <is>
          <t>Debt &amp; Leverage Trajectory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35" t="n"/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40" t="inlineStr">
        <is>
          <t>Valuation</t>
        </is>
      </c>
      <c r="B201" s="441" t="n"/>
      <c r="C201" s="441" t="n"/>
      <c r="D201" s="441" t="n"/>
      <c r="E201" s="441" t="n"/>
      <c r="F201" s="441" t="n"/>
      <c r="G201" s="441" t="n"/>
      <c r="H201" s="441" t="n"/>
      <c r="I201" s="441" t="n"/>
      <c r="J201" s="441" t="n"/>
      <c r="K201" s="441" t="n"/>
      <c r="L201" s="441" t="n"/>
      <c r="M201" s="441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43" t="inlineStr">
        <is>
          <t>Valuation Range by Method</t>
        </is>
      </c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35" t="n"/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5" t="n"/>
      <c r="B227" s="435" t="n"/>
      <c r="C227" s="435" t="n"/>
      <c r="D227" s="435" t="n"/>
      <c r="E227" s="435" t="n"/>
      <c r="F227" s="435" t="n"/>
      <c r="G227" s="435" t="n"/>
      <c r="H227" s="435" t="n"/>
      <c r="I227" s="435" t="n"/>
      <c r="J227" s="435" t="n"/>
      <c r="K227" s="435" t="n"/>
      <c r="L227" s="435" t="n"/>
      <c r="M227" s="435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43" t="inlineStr">
        <is>
          <t>DCF Sensitivity (WACC × Terminal Growth)</t>
        </is>
      </c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55" t="inlineStr">
        <is>
          <t>WACC \ TGR</t>
        </is>
      </c>
      <c r="B230" s="447">
        <f>Valuation!B$148</f>
        <v/>
      </c>
      <c r="C230" s="447">
        <f>Valuation!C$148</f>
        <v/>
      </c>
      <c r="D230" s="447">
        <f>Valuation!D$148</f>
        <v/>
      </c>
      <c r="E230" s="447">
        <f>Valuation!E$148</f>
        <v/>
      </c>
      <c r="F230" s="447">
        <f>Valuation!F$148</f>
        <v/>
      </c>
      <c r="G230" s="447">
        <f>Valuation!G$148</f>
        <v/>
      </c>
      <c r="H230" s="447">
        <f>Valuation!H$148</f>
        <v/>
      </c>
      <c r="I230" s="435" t="n"/>
      <c r="J230" s="435" t="n"/>
      <c r="K230" s="435" t="n"/>
      <c r="L230" s="435" t="n"/>
      <c r="M230" s="435" t="n"/>
    </row>
    <row r="231">
      <c r="A231" s="447">
        <f>Valuation!$A$149</f>
        <v/>
      </c>
      <c r="B231" s="451">
        <f>Valuation!B$149</f>
        <v/>
      </c>
      <c r="C231" s="451">
        <f>Valuation!C$149</f>
        <v/>
      </c>
      <c r="D231" s="451">
        <f>Valuation!D$149</f>
        <v/>
      </c>
      <c r="E231" s="451">
        <f>Valuation!E$149</f>
        <v/>
      </c>
      <c r="F231" s="451">
        <f>Valuation!F$149</f>
        <v/>
      </c>
      <c r="G231" s="451">
        <f>Valuation!G$149</f>
        <v/>
      </c>
      <c r="H231" s="451">
        <f>Valuation!H$149</f>
        <v/>
      </c>
      <c r="I231" s="435" t="n"/>
      <c r="J231" s="435" t="n"/>
      <c r="K231" s="435" t="n"/>
      <c r="L231" s="435" t="n"/>
      <c r="M231" s="435" t="n"/>
    </row>
    <row r="232">
      <c r="A232" s="447">
        <f>Valuation!$A$150</f>
        <v/>
      </c>
      <c r="B232" s="451">
        <f>Valuation!B$150</f>
        <v/>
      </c>
      <c r="C232" s="451">
        <f>Valuation!C$150</f>
        <v/>
      </c>
      <c r="D232" s="451">
        <f>Valuation!D$150</f>
        <v/>
      </c>
      <c r="E232" s="451">
        <f>Valuation!E$150</f>
        <v/>
      </c>
      <c r="F232" s="451">
        <f>Valuation!F$150</f>
        <v/>
      </c>
      <c r="G232" s="451">
        <f>Valuation!G$150</f>
        <v/>
      </c>
      <c r="H232" s="451">
        <f>Valuation!H$150</f>
        <v/>
      </c>
      <c r="I232" s="435" t="n"/>
      <c r="J232" s="435" t="n"/>
      <c r="K232" s="435" t="n"/>
      <c r="L232" s="435" t="n"/>
      <c r="M232" s="435" t="n"/>
    </row>
    <row r="233">
      <c r="A233" s="447">
        <f>Valuation!$A$151</f>
        <v/>
      </c>
      <c r="B233" s="451">
        <f>Valuation!B$151</f>
        <v/>
      </c>
      <c r="C233" s="451">
        <f>Valuation!C$151</f>
        <v/>
      </c>
      <c r="D233" s="451">
        <f>Valuation!D$151</f>
        <v/>
      </c>
      <c r="E233" s="451">
        <f>Valuation!E$151</f>
        <v/>
      </c>
      <c r="F233" s="451">
        <f>Valuation!F$151</f>
        <v/>
      </c>
      <c r="G233" s="451">
        <f>Valuation!G$151</f>
        <v/>
      </c>
      <c r="H233" s="451">
        <f>Valuation!H$151</f>
        <v/>
      </c>
      <c r="I233" s="435" t="n"/>
      <c r="J233" s="435" t="n"/>
      <c r="K233" s="435" t="n"/>
      <c r="L233" s="435" t="n"/>
      <c r="M233" s="435" t="n"/>
    </row>
    <row r="234">
      <c r="A234" s="447">
        <f>Valuation!$A$152</f>
        <v/>
      </c>
      <c r="B234" s="451">
        <f>Valuation!B$152</f>
        <v/>
      </c>
      <c r="C234" s="451">
        <f>Valuation!C$152</f>
        <v/>
      </c>
      <c r="D234" s="451">
        <f>Valuation!D$152</f>
        <v/>
      </c>
      <c r="E234" s="451">
        <f>Valuation!E$152</f>
        <v/>
      </c>
      <c r="F234" s="451">
        <f>Valuation!F$152</f>
        <v/>
      </c>
      <c r="G234" s="451">
        <f>Valuation!G$152</f>
        <v/>
      </c>
      <c r="H234" s="451">
        <f>Valuation!H$152</f>
        <v/>
      </c>
      <c r="I234" s="435" t="n"/>
      <c r="J234" s="435" t="n"/>
      <c r="K234" s="435" t="n"/>
      <c r="L234" s="435" t="n"/>
      <c r="M234" s="435" t="n"/>
    </row>
    <row r="235">
      <c r="A235" s="447">
        <f>Valuation!$A$153</f>
        <v/>
      </c>
      <c r="B235" s="451">
        <f>Valuation!B$153</f>
        <v/>
      </c>
      <c r="C235" s="451">
        <f>Valuation!C$153</f>
        <v/>
      </c>
      <c r="D235" s="451">
        <f>Valuation!D$153</f>
        <v/>
      </c>
      <c r="E235" s="451">
        <f>Valuation!E$153</f>
        <v/>
      </c>
      <c r="F235" s="451">
        <f>Valuation!F$153</f>
        <v/>
      </c>
      <c r="G235" s="451">
        <f>Valuation!G$153</f>
        <v/>
      </c>
      <c r="H235" s="451">
        <f>Valuation!H$153</f>
        <v/>
      </c>
      <c r="I235" s="435" t="n"/>
      <c r="J235" s="435" t="n"/>
      <c r="K235" s="435" t="n"/>
      <c r="L235" s="435" t="n"/>
      <c r="M235" s="435" t="n"/>
    </row>
    <row r="236">
      <c r="A236" s="447">
        <f>Valuation!$A$154</f>
        <v/>
      </c>
      <c r="B236" s="451">
        <f>Valuation!B$154</f>
        <v/>
      </c>
      <c r="C236" s="451">
        <f>Valuation!C$154</f>
        <v/>
      </c>
      <c r="D236" s="451">
        <f>Valuation!D$154</f>
        <v/>
      </c>
      <c r="E236" s="451">
        <f>Valuation!E$154</f>
        <v/>
      </c>
      <c r="F236" s="451">
        <f>Valuation!F$154</f>
        <v/>
      </c>
      <c r="G236" s="451">
        <f>Valuation!G$154</f>
        <v/>
      </c>
      <c r="H236" s="451">
        <f>Valuation!H$154</f>
        <v/>
      </c>
      <c r="I236" s="435" t="n"/>
      <c r="J236" s="435" t="n"/>
      <c r="K236" s="435" t="n"/>
      <c r="L236" s="435" t="n"/>
      <c r="M236" s="435" t="n"/>
    </row>
    <row r="237">
      <c r="A237" s="447">
        <f>Valuation!$A$155</f>
        <v/>
      </c>
      <c r="B237" s="451">
        <f>Valuation!B$155</f>
        <v/>
      </c>
      <c r="C237" s="451">
        <f>Valuation!C$155</f>
        <v/>
      </c>
      <c r="D237" s="451">
        <f>Valuation!D$155</f>
        <v/>
      </c>
      <c r="E237" s="451">
        <f>Valuation!E$155</f>
        <v/>
      </c>
      <c r="F237" s="451">
        <f>Valuation!F$155</f>
        <v/>
      </c>
      <c r="G237" s="451">
        <f>Valuation!G$155</f>
        <v/>
      </c>
      <c r="H237" s="451">
        <f>Valuation!H$155</f>
        <v/>
      </c>
      <c r="I237" s="435" t="n"/>
      <c r="J237" s="435" t="n"/>
      <c r="K237" s="435" t="n"/>
      <c r="L237" s="435" t="n"/>
      <c r="M237" s="435" t="n"/>
    </row>
    <row r="238">
      <c r="A238" s="447">
        <f>Valuation!$A$156</f>
        <v/>
      </c>
      <c r="B238" s="451">
        <f>Valuation!B$156</f>
        <v/>
      </c>
      <c r="C238" s="451">
        <f>Valuation!C$156</f>
        <v/>
      </c>
      <c r="D238" s="451">
        <f>Valuation!D$156</f>
        <v/>
      </c>
      <c r="E238" s="451">
        <f>Valuation!E$156</f>
        <v/>
      </c>
      <c r="F238" s="451">
        <f>Valuation!F$156</f>
        <v/>
      </c>
      <c r="G238" s="451">
        <f>Valuation!G$156</f>
        <v/>
      </c>
      <c r="H238" s="451">
        <f>Valuation!H$156</f>
        <v/>
      </c>
      <c r="I238" s="435" t="n"/>
      <c r="J238" s="435" t="n"/>
      <c r="K238" s="435" t="n"/>
      <c r="L238" s="435" t="n"/>
      <c r="M238" s="435" t="n"/>
    </row>
    <row r="239">
      <c r="A239" s="447">
        <f>Valuation!$A$157</f>
        <v/>
      </c>
      <c r="B239" s="451">
        <f>Valuation!B$157</f>
        <v/>
      </c>
      <c r="C239" s="451">
        <f>Valuation!C$157</f>
        <v/>
      </c>
      <c r="D239" s="451">
        <f>Valuation!D$157</f>
        <v/>
      </c>
      <c r="E239" s="451">
        <f>Valuation!E$157</f>
        <v/>
      </c>
      <c r="F239" s="451">
        <f>Valuation!F$157</f>
        <v/>
      </c>
      <c r="G239" s="451">
        <f>Valuation!G$157</f>
        <v/>
      </c>
      <c r="H239" s="451">
        <f>Valuation!H$157</f>
        <v/>
      </c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40" t="inlineStr">
        <is>
          <t>Quarterly Trend</t>
        </is>
      </c>
      <c r="B245" s="441" t="n"/>
      <c r="C245" s="441" t="n"/>
      <c r="D245" s="441" t="n"/>
      <c r="E245" s="441" t="n"/>
      <c r="F245" s="441" t="n"/>
      <c r="G245" s="441" t="n"/>
      <c r="H245" s="441" t="n"/>
      <c r="I245" s="441" t="n"/>
      <c r="J245" s="441" t="n"/>
      <c r="K245" s="441" t="n"/>
      <c r="L245" s="441" t="n"/>
      <c r="M245" s="441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43" t="inlineStr">
        <is>
          <t>Quarterly Revenue &amp; Net Margin</t>
        </is>
      </c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35" t="n"/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35" t="n"/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35" t="n"/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35" t="n"/>
      <c r="B308" s="435" t="n"/>
      <c r="C308" s="435" t="n"/>
      <c r="D308" s="435" t="n"/>
      <c r="E308" s="435" t="n"/>
      <c r="F308" s="435" t="n"/>
      <c r="G308" s="435" t="n"/>
      <c r="H308" s="435" t="n"/>
      <c r="I308" s="435" t="n"/>
      <c r="J308" s="435" t="n"/>
      <c r="K308" s="435" t="n"/>
      <c r="L308" s="435" t="n"/>
      <c r="M308" s="435" t="n"/>
    </row>
    <row r="309">
      <c r="A309" s="435" t="n"/>
      <c r="B309" s="435" t="n"/>
      <c r="C309" s="435" t="n"/>
      <c r="D309" s="435" t="n"/>
      <c r="E309" s="435" t="n"/>
      <c r="F309" s="435" t="n"/>
      <c r="G309" s="435" t="n"/>
      <c r="H309" s="435" t="n"/>
      <c r="I309" s="435" t="n"/>
      <c r="J309" s="435" t="n"/>
      <c r="K309" s="435" t="n"/>
      <c r="L309" s="435" t="n"/>
      <c r="M309" s="435" t="n"/>
    </row>
    <row r="310">
      <c r="A310" s="435" t="n"/>
      <c r="B310" s="435" t="n"/>
      <c r="C310" s="435" t="n"/>
      <c r="D310" s="435" t="n"/>
      <c r="E310" s="435" t="n"/>
      <c r="F310" s="435" t="n"/>
      <c r="G310" s="435" t="n"/>
      <c r="H310" s="435" t="n"/>
      <c r="I310" s="435" t="n"/>
      <c r="J310" s="435" t="n"/>
      <c r="K310" s="435" t="n"/>
      <c r="L310" s="435" t="n"/>
      <c r="M310" s="435" t="n"/>
    </row>
    <row r="311">
      <c r="A311" s="435" t="n"/>
      <c r="B311" s="435" t="n"/>
      <c r="C311" s="435" t="n"/>
      <c r="D311" s="435" t="n"/>
      <c r="E311" s="435" t="n"/>
      <c r="F311" s="435" t="n"/>
      <c r="G311" s="435" t="n"/>
      <c r="H311" s="435" t="n"/>
      <c r="I311" s="435" t="n"/>
      <c r="J311" s="435" t="n"/>
      <c r="K311" s="435" t="n"/>
      <c r="L311" s="435" t="n"/>
      <c r="M311" s="435" t="n"/>
    </row>
    <row r="312">
      <c r="A312" s="435" t="n"/>
      <c r="B312" s="435" t="n"/>
      <c r="C312" s="435" t="n"/>
      <c r="D312" s="435" t="n"/>
      <c r="E312" s="435" t="n"/>
      <c r="F312" s="435" t="n"/>
      <c r="G312" s="435" t="n"/>
      <c r="H312" s="435" t="n"/>
      <c r="I312" s="435" t="n"/>
      <c r="J312" s="435" t="n"/>
      <c r="K312" s="435" t="n"/>
      <c r="L312" s="435" t="n"/>
      <c r="M312" s="435" t="n"/>
    </row>
    <row r="313">
      <c r="A313" s="435" t="n"/>
      <c r="B313" s="435" t="n"/>
      <c r="C313" s="435" t="n"/>
      <c r="D313" s="435" t="n"/>
      <c r="E313" s="435" t="n"/>
      <c r="F313" s="435" t="n"/>
      <c r="G313" s="435" t="n"/>
      <c r="H313" s="435" t="n"/>
      <c r="I313" s="435" t="n"/>
      <c r="J313" s="435" t="n"/>
      <c r="K313" s="435" t="n"/>
      <c r="L313" s="435" t="n"/>
      <c r="M313" s="435" t="n"/>
    </row>
    <row r="314">
      <c r="A314" s="435" t="n"/>
      <c r="B314" s="435" t="n"/>
      <c r="C314" s="435" t="n"/>
      <c r="D314" s="435" t="n"/>
      <c r="E314" s="435" t="n"/>
      <c r="F314" s="435" t="n"/>
      <c r="G314" s="435" t="n"/>
      <c r="H314" s="435" t="n"/>
      <c r="I314" s="435" t="n"/>
      <c r="J314" s="435" t="n"/>
      <c r="K314" s="435" t="n"/>
      <c r="L314" s="435" t="n"/>
      <c r="M314" s="435" t="n"/>
    </row>
    <row r="315">
      <c r="A315" s="435" t="n"/>
      <c r="B315" s="435" t="n"/>
      <c r="C315" s="435" t="n"/>
      <c r="D315" s="435" t="n"/>
      <c r="E315" s="435" t="n"/>
      <c r="F315" s="435" t="n"/>
      <c r="G315" s="435" t="n"/>
      <c r="H315" s="435" t="n"/>
      <c r="I315" s="435" t="n"/>
      <c r="J315" s="435" t="n"/>
      <c r="K315" s="435" t="n"/>
      <c r="L315" s="435" t="n"/>
      <c r="M315" s="435" t="n"/>
    </row>
    <row r="316">
      <c r="A316" s="435" t="n"/>
      <c r="B316" s="435" t="n"/>
      <c r="C316" s="435" t="n"/>
      <c r="D316" s="435" t="n"/>
      <c r="E316" s="435" t="n"/>
      <c r="F316" s="435" t="n"/>
      <c r="G316" s="435" t="n"/>
      <c r="H316" s="435" t="n"/>
      <c r="I316" s="435" t="n"/>
      <c r="J316" s="435" t="n"/>
      <c r="K316" s="435" t="n"/>
      <c r="L316" s="435" t="n"/>
      <c r="M316" s="435" t="n"/>
    </row>
    <row r="317">
      <c r="A317" s="435" t="n"/>
      <c r="B317" s="435" t="n"/>
      <c r="C317" s="435" t="n"/>
      <c r="D317" s="435" t="n"/>
      <c r="E317" s="435" t="n"/>
      <c r="F317" s="435" t="n"/>
      <c r="G317" s="435" t="n"/>
      <c r="H317" s="435" t="n"/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5" t="n"/>
      <c r="B323" s="435" t="n"/>
      <c r="C323" s="435" t="n"/>
      <c r="D323" s="435" t="n"/>
      <c r="E323" s="435" t="n"/>
      <c r="F323" s="435" t="n"/>
      <c r="G323" s="435" t="n"/>
      <c r="H323" s="435" t="n"/>
      <c r="I323" s="435" t="n"/>
      <c r="J323" s="435" t="n"/>
      <c r="K323" s="435" t="n"/>
      <c r="L323" s="435" t="n"/>
      <c r="M323" s="435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35" t="n"/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conditionalFormatting sqref="B231:H239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72" t="n"/>
      <c r="C4" s="472" t="n"/>
      <c r="D4" s="472" t="n"/>
      <c r="E4" s="472" t="n"/>
      <c r="F4" s="472" t="n"/>
      <c r="G4" s="472" t="n"/>
      <c r="H4" s="472" t="n"/>
      <c r="I4" s="472" t="n"/>
      <c r="J4" s="472" t="n"/>
      <c r="K4" s="472" t="n"/>
      <c r="L4" s="472" t="n"/>
      <c r="M4" s="472" t="n"/>
    </row>
    <row r="5" ht="18" customHeight="1" s="74">
      <c r="A5" s="297" t="inlineStr">
        <is>
          <t>Analysis Date</t>
        </is>
      </c>
      <c r="B5" s="299" t="inlineStr">
        <is>
          <t>2026-08-11</t>
        </is>
      </c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299" t="inlineStr">
        <is>
          <t>FRED (risk-free rate); Tiingo price history (beta); market data providers (price, shares) — each cross-checked against a second source. See Appendix A.1.</t>
        </is>
      </c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214.42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299" t="n">
        <v>219.35</v>
      </c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299" t="n">
        <v>85.68000000000001</v>
      </c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1018.26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218335.3092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-4484.654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213850.6552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-18060.18538974756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-1319.507692307692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1.238636182236128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0.005776682129634027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/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72" t="n"/>
      <c r="C23" s="472" t="n"/>
      <c r="D23" s="472" t="n"/>
      <c r="E23" s="472" t="n"/>
      <c r="F23" s="472" t="n"/>
      <c r="G23" s="472" t="n"/>
      <c r="H23" s="472" t="n"/>
      <c r="I23" s="472" t="n"/>
      <c r="J23" s="472" t="n"/>
      <c r="K23" s="472" t="n"/>
      <c r="L23" s="472" t="n"/>
      <c r="M23" s="472" t="n"/>
    </row>
    <row r="24" ht="18" customHeight="1" s="74">
      <c r="A24" s="297" t="inlineStr">
        <is>
          <t>Risk-Free Rate (10Y UST)</t>
        </is>
      </c>
      <c r="B24" s="304" t="n">
        <v>0.0469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1.23</v>
      </c>
      <c r="C26" s="487" t="inlineStr">
        <is>
          <t>Market-input cost of capital: the APPROVED WACC is Valuation!B15 (11.39%) — this sheet's B37 is the market-input version and may differ (its Ke formula levers the company-specific premium by beta). The report discounts at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299" t="n">
        <v>0</v>
      </c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488" t="n">
        <v>0.015</v>
      </c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486" t="n">
        <v>0.0376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486" t="n">
        <v>0.21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72" t="n"/>
      <c r="C39" s="472" t="n"/>
      <c r="D39" s="472" t="n"/>
      <c r="E39" s="472" t="n"/>
      <c r="F39" s="472" t="n"/>
      <c r="G39" s="472" t="n"/>
      <c r="H39" s="472" t="n"/>
      <c r="I39" s="472" t="n"/>
      <c r="J39" s="472" t="n"/>
      <c r="K39" s="472" t="n"/>
      <c r="L39" s="472" t="n"/>
      <c r="M39" s="472" t="n"/>
    </row>
    <row r="40" ht="18" customHeight="1" s="74">
      <c r="A40" s="306" t="inlineStr">
        <is>
          <t>Fiscal Year</t>
        </is>
      </c>
      <c r="B40" s="437" t="inlineStr">
        <is>
          <t>2016</t>
        </is>
      </c>
      <c r="C40" s="437" t="inlineStr">
        <is>
          <t>2017</t>
        </is>
      </c>
      <c r="D40" s="437" t="inlineStr">
        <is>
          <t>2018</t>
        </is>
      </c>
      <c r="E40" s="437" t="inlineStr">
        <is>
          <t>2019</t>
        </is>
      </c>
      <c r="F40" s="437" t="inlineStr">
        <is>
          <t>2020</t>
        </is>
      </c>
      <c r="G40" s="437" t="inlineStr">
        <is>
          <t>2021</t>
        </is>
      </c>
      <c r="H40" s="437" t="inlineStr">
        <is>
          <t>2022</t>
        </is>
      </c>
      <c r="I40" s="437" t="inlineStr">
        <is>
          <t>2023</t>
        </is>
      </c>
      <c r="J40" s="437" t="inlineStr">
        <is>
          <t>2024</t>
        </is>
      </c>
      <c r="K40" s="437" t="inlineStr">
        <is>
          <t>2025</t>
        </is>
      </c>
      <c r="L40" s="437" t="inlineStr">
        <is>
          <t>2026</t>
        </is>
      </c>
      <c r="M40" s="125" t="n"/>
    </row>
    <row r="41" ht="18" customHeight="1" s="74">
      <c r="A41" s="297" t="inlineStr">
        <is>
          <t>End-of-Year Price  ($)</t>
        </is>
      </c>
      <c r="B41" s="156" t="n"/>
      <c r="C41" s="156" t="n"/>
      <c r="D41" s="156" t="n"/>
      <c r="E41" s="156" t="n"/>
      <c r="F41" s="438" t="n">
        <v>61.09</v>
      </c>
      <c r="G41" s="438" t="n">
        <v>215.8</v>
      </c>
      <c r="H41" s="438" t="n">
        <v>180.64</v>
      </c>
      <c r="I41" s="438" t="n">
        <v>105.9</v>
      </c>
      <c r="J41" s="438" t="n">
        <v>292.5</v>
      </c>
      <c r="K41" s="438" t="n">
        <v>398.07</v>
      </c>
      <c r="L41" s="438" t="n">
        <v>441.4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72" t="n"/>
      <c r="C44" s="472" t="n"/>
      <c r="D44" s="472" t="n"/>
      <c r="E44" s="472" t="n"/>
      <c r="F44" s="472" t="n"/>
      <c r="G44" s="472" t="n"/>
      <c r="H44" s="472" t="n"/>
      <c r="I44" s="472" t="n"/>
      <c r="J44" s="472" t="n"/>
      <c r="K44" s="472" t="n"/>
      <c r="L44" s="472" t="n"/>
      <c r="M44" s="472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158" t="n"/>
      <c r="C46" s="158" t="n"/>
      <c r="D46" s="158" t="n"/>
      <c r="E46" s="158" t="n"/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158" t="n"/>
      <c r="C47" s="158" t="n"/>
      <c r="D47" s="158" t="n"/>
      <c r="E47" s="158" t="n"/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158" t="n"/>
      <c r="C48" s="158" t="n"/>
      <c r="D48" s="158" t="n"/>
      <c r="E48" s="158" t="n"/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2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CRWD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CrowdStrike Holdings, Inc.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Technology / Cybersecurity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January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1.23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214.42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218335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2026-08-11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2016</t>
        </is>
      </c>
      <c r="C13" s="14" t="inlineStr">
        <is>
          <t>2017</t>
        </is>
      </c>
      <c r="D13" s="14" t="inlineStr">
        <is>
          <t>2018</t>
        </is>
      </c>
      <c r="E13" s="14" t="inlineStr">
        <is>
          <t>2019</t>
        </is>
      </c>
      <c r="F13" s="14" t="inlineStr">
        <is>
          <t>2020</t>
        </is>
      </c>
      <c r="G13" s="14" t="inlineStr">
        <is>
          <t>2021</t>
        </is>
      </c>
      <c r="H13" s="14" t="inlineStr">
        <is>
          <t>2022</t>
        </is>
      </c>
      <c r="I13" s="14" t="inlineStr">
        <is>
          <t>2023</t>
        </is>
      </c>
      <c r="J13" s="14" t="inlineStr">
        <is>
          <t>2024</t>
        </is>
      </c>
      <c r="K13" s="14" t="inlineStr">
        <is>
          <t>2025</t>
        </is>
      </c>
      <c r="L13" s="14" t="inlineStr">
        <is>
          <t>2026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/>
      <c r="D14" s="379" t="n">
        <v>118.752</v>
      </c>
      <c r="E14" s="379" t="n">
        <v>249.824</v>
      </c>
      <c r="F14" s="379" t="n">
        <v>481.413</v>
      </c>
      <c r="G14" s="379" t="n">
        <v>874.438</v>
      </c>
      <c r="H14" s="379" t="n">
        <v>1451.594</v>
      </c>
      <c r="I14" s="379" t="n">
        <v>2241.236</v>
      </c>
      <c r="J14" s="379" t="n">
        <v>3055.555</v>
      </c>
      <c r="K14" s="379" t="n">
        <v>3953.624</v>
      </c>
      <c r="L14" s="379" t="n">
        <v>4812.005</v>
      </c>
      <c r="M14" s="308" t="inlineStr">
        <is>
          <t>CRWD 10k 2026.pdf | p.83 | Consolidated Statements of Operations | Total revenue | as-printed: 4,812,005</t>
        </is>
      </c>
      <c r="N14" s="380" t="n">
        <v>921.0360000000001</v>
      </c>
      <c r="O14" s="380" t="n">
        <v>963.8720000000001</v>
      </c>
      <c r="P14" s="380" t="n">
        <v>1010.178</v>
      </c>
      <c r="Q14" s="380" t="n">
        <v>1058.538</v>
      </c>
      <c r="R14" s="380" t="n">
        <v>1103.434</v>
      </c>
      <c r="S14" s="380" t="n">
        <v>1168.952</v>
      </c>
      <c r="T14" s="380" t="n">
        <v>1234.244</v>
      </c>
      <c r="U14" s="380" t="n">
        <v>1305.375</v>
      </c>
      <c r="V14" s="381" t="n">
        <v>1385.629</v>
      </c>
      <c r="W14" s="456" t="n"/>
      <c r="X14" s="456" t="n"/>
      <c r="Y14" s="456" t="n"/>
    </row>
    <row r="15" ht="15" customHeight="1" s="74">
      <c r="A15" s="17" t="inlineStr">
        <is>
          <t>Cost of Goods Sold</t>
        </is>
      </c>
      <c r="B15" s="382" t="n"/>
      <c r="C15" s="382" t="n"/>
      <c r="D15" s="382" t="n">
        <v>54.486</v>
      </c>
      <c r="E15" s="382" t="n">
        <v>87.238</v>
      </c>
      <c r="F15" s="382" t="n">
        <v>141.627</v>
      </c>
      <c r="G15" s="382" t="n">
        <v>229.545</v>
      </c>
      <c r="H15" s="382" t="n">
        <v>383.221</v>
      </c>
      <c r="I15" s="382" t="n">
        <v>601.231</v>
      </c>
      <c r="J15" s="382" t="n">
        <v>755.723</v>
      </c>
      <c r="K15" s="382" t="n">
        <v>991.481</v>
      </c>
      <c r="L15" s="382" t="n">
        <v>1218.929</v>
      </c>
      <c r="M15" s="308" t="inlineStr">
        <is>
          <t>CRWD 10k 2026.pdf | p.83 | Consolidated Statements of Operations | Total cost of revenue | as-printed: 1,218,929</t>
        </is>
      </c>
      <c r="N15" s="383" t="n">
        <v>225.003</v>
      </c>
      <c r="O15" s="383" t="n">
        <v>237.401</v>
      </c>
      <c r="P15" s="383" t="n">
        <v>255.087</v>
      </c>
      <c r="Q15" s="383" t="n">
        <v>273.99</v>
      </c>
      <c r="R15" s="383" t="n">
        <v>289.143</v>
      </c>
      <c r="S15" s="383" t="n">
        <v>310.283</v>
      </c>
      <c r="T15" s="383" t="n">
        <v>307.805</v>
      </c>
      <c r="U15" s="383" t="n">
        <v>311.6980000000001</v>
      </c>
      <c r="V15" s="384" t="n">
        <v>342.277</v>
      </c>
      <c r="W15" s="456" t="n"/>
      <c r="X15" s="456" t="n"/>
      <c r="Y15" s="456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457">
        <f>IFERROR(IF(OR(NOT(ISNUMBER(Data!W14)),NOT(ISNUMBER(Data!W15))),"-",Data!W14-Data!W15),"-")</f>
        <v/>
      </c>
      <c r="X16" s="457">
        <f>IFERROR(IF(OR(NOT(ISNUMBER(Data!X14)),NOT(ISNUMBER(Data!X15))),"-",Data!X14-Data!X15),"-")</f>
        <v/>
      </c>
      <c r="Y16" s="457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/>
      <c r="D17" s="382" t="n">
        <v>136.819</v>
      </c>
      <c r="E17" s="382" t="n">
        <v>214.899</v>
      </c>
      <c r="F17" s="382" t="n">
        <v>355.663</v>
      </c>
      <c r="G17" s="382" t="n">
        <v>522.752</v>
      </c>
      <c r="H17" s="382" t="n">
        <v>839.638</v>
      </c>
      <c r="I17" s="382" t="n">
        <v>1221.753</v>
      </c>
      <c r="J17" s="382" t="n">
        <v>1533.33</v>
      </c>
      <c r="K17" s="382" t="n">
        <v>2005.672</v>
      </c>
      <c r="L17" s="382" t="n">
        <v>2501.598</v>
      </c>
      <c r="M17" s="308" t="inlineStr">
        <is>
          <t>CRWD 10k 2026.pdf | p.83 | Consolidated Statements of Operations | Sales and marketing + General and administrative (summed; model has no separate S&amp;M row) | as-printed: 2,501,598</t>
        </is>
      </c>
      <c r="N17" s="383" t="n">
        <v>453.848</v>
      </c>
      <c r="O17" s="383" t="n">
        <v>461.905</v>
      </c>
      <c r="P17" s="383" t="n">
        <v>535.212</v>
      </c>
      <c r="Q17" s="383" t="n">
        <v>554.7069999999999</v>
      </c>
      <c r="R17" s="383" t="n">
        <v>604.818</v>
      </c>
      <c r="S17" s="383" t="n">
        <v>624.98</v>
      </c>
      <c r="T17" s="383" t="n">
        <v>648.318</v>
      </c>
      <c r="U17" s="383" t="n">
        <v>623.482</v>
      </c>
      <c r="V17" s="384" t="n">
        <v>665.626</v>
      </c>
      <c r="W17" s="384" t="n"/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/>
      <c r="D18" s="379" t="n">
        <v>58.887</v>
      </c>
      <c r="E18" s="379" t="n">
        <v>84.551</v>
      </c>
      <c r="F18" s="379" t="n">
        <v>130.188</v>
      </c>
      <c r="G18" s="379" t="n">
        <v>214.67</v>
      </c>
      <c r="H18" s="379" t="n">
        <v>371.283</v>
      </c>
      <c r="I18" s="379" t="n">
        <v>608.364</v>
      </c>
      <c r="J18" s="379" t="n">
        <v>768.497</v>
      </c>
      <c r="K18" s="379" t="n">
        <v>1076.901</v>
      </c>
      <c r="L18" s="379" t="n">
        <v>1384.77</v>
      </c>
      <c r="M18" s="308" t="inlineStr">
        <is>
          <t>CRWD 10k 2026.pdf | p.83 | Consolidated Statements of Operations | Research and development | as-printed: 1,384,770</t>
        </is>
      </c>
      <c r="N18" s="380" t="n">
        <v>235.249</v>
      </c>
      <c r="O18" s="380" t="n">
        <v>250.908</v>
      </c>
      <c r="P18" s="380" t="n">
        <v>275.602</v>
      </c>
      <c r="Q18" s="380" t="n">
        <v>315.1420000000001</v>
      </c>
      <c r="R18" s="380" t="n">
        <v>334.129</v>
      </c>
      <c r="S18" s="380" t="n">
        <v>346.668</v>
      </c>
      <c r="T18" s="380" t="n">
        <v>347.564</v>
      </c>
      <c r="U18" s="380" t="n">
        <v>356.4089999999999</v>
      </c>
      <c r="V18" s="381" t="n">
        <v>408.326</v>
      </c>
      <c r="W18" s="381" t="n"/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/>
      <c r="D19" s="71" t="n">
        <v>195.706</v>
      </c>
      <c r="E19" s="71" t="n">
        <v>299.45</v>
      </c>
      <c r="F19" s="71" t="n">
        <v>485.851</v>
      </c>
      <c r="G19" s="71" t="n">
        <v>737.422</v>
      </c>
      <c r="H19" s="71" t="n">
        <v>1210.921</v>
      </c>
      <c r="I19" s="71" t="n">
        <v>1830.117</v>
      </c>
      <c r="J19" s="71" t="n">
        <v>2301.827</v>
      </c>
      <c r="K19" s="71" t="n">
        <v>3082.573</v>
      </c>
      <c r="L19" s="71" t="n">
        <v>3886.368</v>
      </c>
      <c r="M19" s="308" t="inlineStr">
        <is>
          <t>CRWD 10k 2026.pdf | p.83 | Consolidated Statements of Operations | Total operating expenses | as-printed: 3,886,368</t>
        </is>
      </c>
      <c r="N19" s="216" t="n">
        <v>689.097</v>
      </c>
      <c r="O19" s="216" t="n">
        <v>712.813</v>
      </c>
      <c r="P19" s="216" t="n">
        <v>810.814</v>
      </c>
      <c r="Q19" s="216" t="n">
        <v>869.8489999999996</v>
      </c>
      <c r="R19" s="216" t="n">
        <v>938.9469999999999</v>
      </c>
      <c r="S19" s="216" t="n">
        <v>971.648</v>
      </c>
      <c r="T19" s="216" t="n">
        <v>995.8819999999998</v>
      </c>
      <c r="U19" s="216" t="n">
        <v>979.8909999999998</v>
      </c>
      <c r="V19" s="256" t="n">
        <v>1073.952</v>
      </c>
      <c r="W19" s="457" t="n"/>
      <c r="X19" s="457" t="n"/>
      <c r="Y19" s="457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/>
      <c r="D21" s="382" t="n">
        <v>7.739</v>
      </c>
      <c r="E21" s="382" t="n">
        <v>15.398</v>
      </c>
      <c r="F21" s="382" t="n">
        <v>23.513</v>
      </c>
      <c r="G21" s="382" t="n">
        <v>40.143</v>
      </c>
      <c r="H21" s="382" t="n">
        <v>68.81</v>
      </c>
      <c r="I21" s="382" t="n">
        <v>93.81</v>
      </c>
      <c r="J21" s="382" t="n">
        <v>145.254</v>
      </c>
      <c r="K21" s="382" t="n">
        <v>213.956</v>
      </c>
      <c r="L21" s="382" t="n">
        <v>281.451</v>
      </c>
      <c r="M21" s="308" t="inlineStr">
        <is>
          <t>CRWD 10k 2026.pdf | p.86 | Consolidated Statements of Cash Flows | Depreciation and amortization + Amortization of intangible assets (combined) | as-printed: 281,451</t>
        </is>
      </c>
      <c r="N21" s="383" t="n">
        <v>48.7</v>
      </c>
      <c r="O21" s="383" t="n">
        <v>52.6</v>
      </c>
      <c r="P21" s="383" t="n">
        <v>55.2</v>
      </c>
      <c r="Q21" s="383" t="n">
        <v>57.4</v>
      </c>
      <c r="R21" s="383" t="n">
        <v>64.09999999999999</v>
      </c>
      <c r="S21" s="383" t="n">
        <v>68</v>
      </c>
      <c r="T21" s="383" t="n">
        <v>71.8</v>
      </c>
      <c r="U21" s="383" t="n">
        <v>77.5</v>
      </c>
      <c r="V21" s="384" t="n">
        <v>87.90000000000001</v>
      </c>
      <c r="W21" s="384" t="n"/>
      <c r="X21" s="384" t="n"/>
      <c r="Y21" s="384" t="n"/>
    </row>
    <row r="22" ht="15" customHeight="1" s="74">
      <c r="A22" s="15" t="inlineStr">
        <is>
          <t>EBIT (Operating Income)</t>
        </is>
      </c>
      <c r="B22" s="70" t="n"/>
      <c r="C22" s="70" t="n"/>
      <c r="D22" s="70" t="n">
        <v>-131.44</v>
      </c>
      <c r="E22" s="70" t="n">
        <v>-136.864</v>
      </c>
      <c r="F22" s="70" t="n">
        <v>-146.065</v>
      </c>
      <c r="G22" s="70" t="n">
        <v>-92.529</v>
      </c>
      <c r="H22" s="70" t="n">
        <v>-142.548</v>
      </c>
      <c r="I22" s="70" t="n">
        <v>-190.112</v>
      </c>
      <c r="J22" s="70" t="n">
        <v>-1.995</v>
      </c>
      <c r="K22" s="70" t="n">
        <v>-120.43</v>
      </c>
      <c r="L22" s="70" t="n">
        <v>-293.292</v>
      </c>
      <c r="M22" s="308" t="inlineStr">
        <is>
          <t>CRWD 10k 2026.pdf | p.83 | Consolidated Statements of Operations | Loss from operations | as-printed: (293,292)</t>
        </is>
      </c>
      <c r="N22" s="220" t="n">
        <v>6.936</v>
      </c>
      <c r="O22" s="220" t="n">
        <v>13.658</v>
      </c>
      <c r="P22" s="220" t="n">
        <v>-55.723</v>
      </c>
      <c r="Q22" s="220" t="n">
        <v>-85.30100000000002</v>
      </c>
      <c r="R22" s="220" t="n">
        <v>-124.656</v>
      </c>
      <c r="S22" s="220" t="n">
        <v>-112.979</v>
      </c>
      <c r="T22" s="220" t="n">
        <v>-69.443</v>
      </c>
      <c r="U22" s="220" t="n">
        <v>13.786</v>
      </c>
      <c r="V22" s="258" t="n">
        <v>-30.6</v>
      </c>
      <c r="W22" s="457" t="n"/>
      <c r="X22" s="457" t="n"/>
      <c r="Y22" s="457" t="n"/>
    </row>
    <row r="23" ht="15" customHeight="1" s="74">
      <c r="A23" s="17" t="inlineStr">
        <is>
          <t>Interest Expense</t>
        </is>
      </c>
      <c r="B23" s="382" t="n"/>
      <c r="C23" s="382" t="n"/>
      <c r="D23" s="382" t="n">
        <v>1.648</v>
      </c>
      <c r="E23" s="382" t="n">
        <v>0.428</v>
      </c>
      <c r="F23" s="382" t="n">
        <v>0.442</v>
      </c>
      <c r="G23" s="382" t="n">
        <v>1.559</v>
      </c>
      <c r="H23" s="382" t="n">
        <v>25.231</v>
      </c>
      <c r="I23" s="382" t="n">
        <v>25.319</v>
      </c>
      <c r="J23" s="382" t="n">
        <v>25.756</v>
      </c>
      <c r="K23" s="382" t="n">
        <v>26.311</v>
      </c>
      <c r="L23" s="382" t="n">
        <v>28.021</v>
      </c>
      <c r="M23" s="308" t="inlineStr">
        <is>
          <t>CRWD 10k 2026.pdf | p.83 | Consolidated Statements of Operations | Interest expense | as-printed: (28,021)</t>
        </is>
      </c>
      <c r="N23" s="383" t="n">
        <v>6.511</v>
      </c>
      <c r="O23" s="383" t="n">
        <v>6.549</v>
      </c>
      <c r="P23" s="383" t="n">
        <v>6.587</v>
      </c>
      <c r="Q23" s="383" t="n">
        <v>6.664000000000001</v>
      </c>
      <c r="R23" s="383" t="n">
        <v>6.715</v>
      </c>
      <c r="S23" s="383" t="n">
        <v>6.823</v>
      </c>
      <c r="T23" s="383" t="n">
        <v>6.931</v>
      </c>
      <c r="U23" s="383" t="n">
        <v>7.552</v>
      </c>
      <c r="V23" s="384" t="n">
        <v>6.116000000000001</v>
      </c>
      <c r="W23" s="456" t="n"/>
      <c r="X23" s="456" t="n"/>
      <c r="Y23" s="456" t="n"/>
    </row>
    <row r="24" ht="15" customHeight="1" s="74">
      <c r="A24" s="15" t="inlineStr">
        <is>
          <t>Pre-Tax Income</t>
        </is>
      </c>
      <c r="B24" s="70" t="n"/>
      <c r="C24" s="70" t="n"/>
      <c r="D24" s="70" t="n">
        <v>-134.561</v>
      </c>
      <c r="E24" s="70" t="n">
        <v>-138.71</v>
      </c>
      <c r="F24" s="70" t="n">
        <v>-139.782</v>
      </c>
      <c r="G24" s="70" t="n">
        <v>-87.869</v>
      </c>
      <c r="H24" s="70" t="n">
        <v>-160.023</v>
      </c>
      <c r="I24" s="70" t="n">
        <v>-159.883</v>
      </c>
      <c r="J24" s="70" t="n">
        <v>122.817</v>
      </c>
      <c r="K24" s="70" t="n">
        <v>54.534</v>
      </c>
      <c r="L24" s="70" t="n">
        <v>-126.989</v>
      </c>
      <c r="M24" s="308" t="inlineStr">
        <is>
          <t>CRWD 10k 2026.pdf | p.83 | Consolidated Statements of Operations | Income (loss) before provision for income taxes | as-printed: (126,989)</t>
        </is>
      </c>
      <c r="N24" s="220" t="n">
        <v>53.931</v>
      </c>
      <c r="O24" s="220" t="n">
        <v>57.604</v>
      </c>
      <c r="P24" s="220" t="n">
        <v>-10.538</v>
      </c>
      <c r="Q24" s="220" t="n">
        <v>-46.463</v>
      </c>
      <c r="R24" s="220" t="n">
        <v>-89.887</v>
      </c>
      <c r="S24" s="220" t="n">
        <v>-71.67400000000001</v>
      </c>
      <c r="T24" s="220" t="n">
        <v>-23.268</v>
      </c>
      <c r="U24" s="220" t="n">
        <v>57.84</v>
      </c>
      <c r="V24" s="258" t="n">
        <v>39.063</v>
      </c>
      <c r="W24" s="457" t="n"/>
      <c r="X24" s="457" t="n"/>
      <c r="Y24" s="457" t="n"/>
    </row>
    <row r="25" ht="15" customHeight="1" s="74">
      <c r="A25" s="17" t="inlineStr">
        <is>
          <t>Tax Expense</t>
        </is>
      </c>
      <c r="B25" s="388" t="n"/>
      <c r="C25" s="388" t="n"/>
      <c r="D25" s="388" t="n">
        <v>0.929</v>
      </c>
      <c r="E25" s="388" t="n">
        <v>1.367</v>
      </c>
      <c r="F25" s="388" t="n">
        <v>1.997</v>
      </c>
      <c r="G25" s="388" t="n">
        <v>4.76</v>
      </c>
      <c r="H25" s="388" t="n">
        <v>72.355</v>
      </c>
      <c r="I25" s="388" t="n">
        <v>22.402</v>
      </c>
      <c r="J25" s="388" t="n">
        <v>32.232</v>
      </c>
      <c r="K25" s="388" t="n">
        <v>71.13</v>
      </c>
      <c r="L25" s="388" t="n">
        <v>34.176</v>
      </c>
      <c r="M25" s="308" t="inlineStr">
        <is>
          <t>CRWD 10k 2026.pdf | p.83 | Consolidated Statements of Operations | Provision for income taxes | as-printed: 34,176</t>
        </is>
      </c>
      <c r="N25" s="389" t="n">
        <v>7.667</v>
      </c>
      <c r="O25" s="389" t="n">
        <v>10.914</v>
      </c>
      <c r="P25" s="389" t="n">
        <v>6.281</v>
      </c>
      <c r="Q25" s="389" t="n">
        <v>46.268</v>
      </c>
      <c r="R25" s="389" t="n">
        <v>21.106</v>
      </c>
      <c r="S25" s="389" t="n">
        <v>5.971</v>
      </c>
      <c r="T25" s="389" t="n">
        <v>10.72</v>
      </c>
      <c r="U25" s="389" t="n">
        <v>-3.621000000000002</v>
      </c>
      <c r="V25" s="390" t="n">
        <v>-6.903</v>
      </c>
      <c r="W25" s="456" t="n"/>
      <c r="X25" s="456" t="n"/>
      <c r="Y25" s="456" t="n"/>
    </row>
    <row r="26" ht="15" customHeight="1" s="74">
      <c r="A26" s="15" t="inlineStr">
        <is>
          <t>Net Income</t>
        </is>
      </c>
      <c r="B26" s="379" t="n"/>
      <c r="C26" s="379" t="n"/>
      <c r="D26" s="379" t="n">
        <v>-135.49</v>
      </c>
      <c r="E26" s="379" t="n">
        <v>-140.077</v>
      </c>
      <c r="F26" s="379" t="n">
        <v>-141.779</v>
      </c>
      <c r="G26" s="379" t="n">
        <v>-92.629</v>
      </c>
      <c r="H26" s="379" t="n">
        <v>-234.802</v>
      </c>
      <c r="I26" s="379" t="n">
        <v>-183.245</v>
      </c>
      <c r="J26" s="379" t="n">
        <v>89.327</v>
      </c>
      <c r="K26" s="379" t="n">
        <v>-19.271</v>
      </c>
      <c r="L26" s="379" t="n">
        <v>-162.502</v>
      </c>
      <c r="M26" s="308" t="inlineStr">
        <is>
          <t>CRWD 10k 2026.pdf | p.83 | Consolidated Statements of Operations | Net income (loss) attributable to CrowdStrike | as-printed: (162,502)</t>
        </is>
      </c>
      <c r="N26" s="380" t="n">
        <v>42.82</v>
      </c>
      <c r="O26" s="380" t="n">
        <v>47.013</v>
      </c>
      <c r="P26" s="380" t="n">
        <v>-16.822</v>
      </c>
      <c r="Q26" s="380" t="n">
        <v>-92.282</v>
      </c>
      <c r="R26" s="380" t="n">
        <v>-110.207</v>
      </c>
      <c r="S26" s="380" t="n">
        <v>-77.675</v>
      </c>
      <c r="T26" s="380" t="n">
        <v>-33.997</v>
      </c>
      <c r="U26" s="380" t="n">
        <v>59.37700000000001</v>
      </c>
      <c r="V26" s="381" t="n">
        <v>27.774</v>
      </c>
      <c r="W26" s="456" t="n"/>
      <c r="X26" s="456" t="n"/>
      <c r="Y26" s="456" t="n"/>
    </row>
    <row r="27" ht="15" customHeight="1" s="74">
      <c r="A27" s="17" t="inlineStr">
        <is>
          <t>Diluted EPS</t>
        </is>
      </c>
      <c r="B27" s="391" t="n"/>
      <c r="C27" s="391" t="n"/>
      <c r="D27" s="391" t="n">
        <v>-3.38</v>
      </c>
      <c r="E27" s="391" t="n">
        <v>-3.12</v>
      </c>
      <c r="F27" s="391" t="n">
        <v>-0.96</v>
      </c>
      <c r="G27" s="391" t="n">
        <v>-0.43</v>
      </c>
      <c r="H27" s="391" t="n">
        <v>-1.03</v>
      </c>
      <c r="I27" s="391" t="n">
        <v>-0.79</v>
      </c>
      <c r="J27" s="391" t="n">
        <v>0.37</v>
      </c>
      <c r="K27" s="391" t="n">
        <v>-0.08</v>
      </c>
      <c r="L27" s="391" t="n">
        <v>-0.65</v>
      </c>
      <c r="M27" s="308" t="inlineStr">
        <is>
          <t>CRWD 10k 2026.pdf | p.83 | Consolidated Statements of Operations | Net income (loss) per share attributable to CrowdStrike common stockholders: Diluted | as-printed: (0.65)</t>
        </is>
      </c>
      <c r="N27" s="392" t="n">
        <v>0.17</v>
      </c>
      <c r="O27" s="392" t="n">
        <v>0.19</v>
      </c>
      <c r="P27" s="392" t="n">
        <v>-0.07000000000000001</v>
      </c>
      <c r="Q27" s="392" t="n"/>
      <c r="R27" s="392" t="n">
        <v>-0.44</v>
      </c>
      <c r="S27" s="392" t="n">
        <v>-0.31</v>
      </c>
      <c r="T27" s="392" t="n">
        <v>-0.14</v>
      </c>
      <c r="U27" s="392" t="n"/>
      <c r="V27" s="384" t="n">
        <v>0.11</v>
      </c>
      <c r="W27" s="456" t="n"/>
      <c r="X27" s="456" t="n"/>
      <c r="Y27" s="456" t="n"/>
    </row>
    <row r="28" ht="15" customHeight="1" s="74">
      <c r="A28" s="15" t="inlineStr">
        <is>
          <t>Diluted Shares Out. (M)</t>
        </is>
      </c>
      <c r="B28" s="393" t="n"/>
      <c r="C28" s="393" t="n"/>
      <c r="D28" s="393" t="n">
        <v>41.876</v>
      </c>
      <c r="E28" s="393" t="n">
        <v>44.863</v>
      </c>
      <c r="F28" s="393" t="n">
        <v>148.062</v>
      </c>
      <c r="G28" s="393" t="n">
        <v>217.756</v>
      </c>
      <c r="H28" s="393" t="n">
        <v>227.142</v>
      </c>
      <c r="I28" s="393" t="n">
        <v>233.139</v>
      </c>
      <c r="J28" s="393" t="n">
        <v>243.635</v>
      </c>
      <c r="K28" s="393" t="n">
        <v>244.75</v>
      </c>
      <c r="L28" s="393" t="n">
        <v>250.576</v>
      </c>
      <c r="M28" s="308" t="n">
        <v>1018.26</v>
      </c>
      <c r="N28" s="394" t="n">
        <v>250.164</v>
      </c>
      <c r="O28" s="394" t="n">
        <v>251.265</v>
      </c>
      <c r="P28" s="394" t="n">
        <v>245.536</v>
      </c>
      <c r="Q28" s="394" t="n"/>
      <c r="R28" s="394" t="n">
        <v>248.432</v>
      </c>
      <c r="S28" s="394" t="n">
        <v>249.909</v>
      </c>
      <c r="T28" s="394" t="n">
        <v>251.326</v>
      </c>
      <c r="U28" s="394" t="n"/>
      <c r="V28" s="381" t="n">
        <v>257.881</v>
      </c>
      <c r="W28" s="456" t="n"/>
      <c r="X28" s="456" t="n"/>
      <c r="Y28" s="456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2016</t>
        </is>
      </c>
      <c r="C31" s="14" t="inlineStr">
        <is>
          <t>2017</t>
        </is>
      </c>
      <c r="D31" s="14" t="inlineStr">
        <is>
          <t>2018</t>
        </is>
      </c>
      <c r="E31" s="14" t="inlineStr">
        <is>
          <t>2019</t>
        </is>
      </c>
      <c r="F31" s="14" t="inlineStr">
        <is>
          <t>2020</t>
        </is>
      </c>
      <c r="G31" s="14" t="inlineStr">
        <is>
          <t>2021</t>
        </is>
      </c>
      <c r="H31" s="14" t="inlineStr">
        <is>
          <t>2022</t>
        </is>
      </c>
      <c r="I31" s="14" t="inlineStr">
        <is>
          <t>2023</t>
        </is>
      </c>
      <c r="J31" s="14" t="inlineStr">
        <is>
          <t>2024</t>
        </is>
      </c>
      <c r="K31" s="14" t="inlineStr">
        <is>
          <t>2025</t>
        </is>
      </c>
      <c r="L31" s="14" t="inlineStr">
        <is>
          <t>2026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/>
      <c r="D32" s="379" t="n">
        <v>63.179</v>
      </c>
      <c r="E32" s="379" t="n">
        <v>88.408</v>
      </c>
      <c r="F32" s="379" t="n">
        <v>264.798</v>
      </c>
      <c r="G32" s="379" t="n">
        <v>1918.608</v>
      </c>
      <c r="H32" s="379" t="n">
        <v>1996.633</v>
      </c>
      <c r="I32" s="379" t="n">
        <v>2455.369</v>
      </c>
      <c r="J32" s="379" t="n">
        <v>3375.069</v>
      </c>
      <c r="K32" s="379" t="n">
        <v>4323.295</v>
      </c>
      <c r="L32" s="379" t="n">
        <v>5230.125</v>
      </c>
      <c r="M32" s="308" t="inlineStr">
        <is>
          <t>CRWD 10k 2026.pdf | p.82 | Consolidated Balance Sheets | Cash and cash equivalents | as-printed: 5,230,125</t>
        </is>
      </c>
      <c r="N32" s="380" t="n">
        <v>3702.437</v>
      </c>
      <c r="O32" s="380" t="n">
        <v>4038.536</v>
      </c>
      <c r="P32" s="380" t="n">
        <v>4260.324000000001</v>
      </c>
      <c r="Q32" s="380" t="n">
        <v>4323.295</v>
      </c>
      <c r="R32" s="380" t="n">
        <v>4614.153</v>
      </c>
      <c r="S32" s="380" t="n">
        <v>4972.436</v>
      </c>
      <c r="T32" s="380" t="n">
        <v>4801.083000000001</v>
      </c>
      <c r="U32" s="380" t="n">
        <v>5230.125</v>
      </c>
      <c r="V32" s="381" t="n">
        <v>4552.801</v>
      </c>
      <c r="W32" s="456" t="n"/>
      <c r="X32" s="456" t="n"/>
      <c r="Y32" s="456" t="n"/>
    </row>
    <row r="33" ht="15" customHeight="1" s="74">
      <c r="A33" s="17" t="inlineStr">
        <is>
          <t>Short-term Debt</t>
        </is>
      </c>
      <c r="B33" s="382" t="n"/>
      <c r="C33" s="382" t="n"/>
      <c r="D33" s="382" t="n">
        <v>0</v>
      </c>
      <c r="E33" s="382" t="n">
        <v>0</v>
      </c>
      <c r="F33" s="382" t="n">
        <v>0</v>
      </c>
      <c r="G33" s="382" t="n">
        <v>0</v>
      </c>
      <c r="H33" s="382" t="n">
        <v>0</v>
      </c>
      <c r="I33" s="382" t="n">
        <v>0</v>
      </c>
      <c r="J33" s="382" t="n">
        <v>0</v>
      </c>
      <c r="K33" s="382" t="n">
        <v>0</v>
      </c>
      <c r="L33" s="382" t="n">
        <v>0</v>
      </c>
      <c r="M33" s="308" t="inlineStr">
        <is>
          <t>Confirmed absent in filing (extractor NOT_FOUND) → 0. No current portion of long-term debt or short-term borrowings on the balance sheet (p.82). The $750M 3.00% Senior Notes mature Feb 2029 (all long-term); the revolving facility expired Jan 2, 2026 with no outstanding balance (Note 5, p.102).</t>
        </is>
      </c>
      <c r="N33" s="383" t="n">
        <v>0</v>
      </c>
      <c r="O33" s="383" t="n">
        <v>0</v>
      </c>
      <c r="P33" s="383" t="n">
        <v>0</v>
      </c>
      <c r="Q33" s="383" t="n"/>
      <c r="R33" s="383" t="n"/>
      <c r="S33" s="383" t="n">
        <v>0</v>
      </c>
      <c r="T33" s="383" t="n">
        <v>0</v>
      </c>
      <c r="U33" s="383" t="n"/>
      <c r="V33" s="384" t="n">
        <v>0</v>
      </c>
      <c r="W33" s="456" t="n"/>
      <c r="X33" s="456" t="n"/>
      <c r="Y33" s="456" t="n"/>
    </row>
    <row r="34" ht="15" customHeight="1" s="74">
      <c r="A34" s="15" t="inlineStr">
        <is>
          <t>Long-term Debt</t>
        </is>
      </c>
      <c r="B34" s="379" t="n"/>
      <c r="C34" s="379" t="n"/>
      <c r="D34" s="379" t="n">
        <v>0</v>
      </c>
      <c r="E34" s="379" t="n">
        <v>0</v>
      </c>
      <c r="F34" s="379" t="n">
        <v>0</v>
      </c>
      <c r="G34" s="379" t="n">
        <v>738.029</v>
      </c>
      <c r="H34" s="379" t="n">
        <v>739.5170000000001</v>
      </c>
      <c r="I34" s="379" t="n">
        <v>741.005</v>
      </c>
      <c r="J34" s="379" t="n">
        <v>742.494</v>
      </c>
      <c r="K34" s="379" t="n">
        <v>743.9829999999999</v>
      </c>
      <c r="L34" s="379" t="n">
        <v>745.471</v>
      </c>
      <c r="M34" s="308" t="inlineStr">
        <is>
          <t>CRWD 10k 2026.pdf | p.82 | Consolidated Balance Sheets | Long-term debt | as-printed: 745,471</t>
        </is>
      </c>
      <c r="N34" s="380" t="n">
        <v>742.866</v>
      </c>
      <c r="O34" s="380" t="n">
        <v>743.2380000000001</v>
      </c>
      <c r="P34" s="380" t="n">
        <v>743.61</v>
      </c>
      <c r="Q34" s="380" t="n">
        <v>743.9829999999999</v>
      </c>
      <c r="R34" s="380" t="n">
        <v>744.355</v>
      </c>
      <c r="S34" s="380" t="n">
        <v>744.727</v>
      </c>
      <c r="T34" s="380" t="n">
        <v>745.099</v>
      </c>
      <c r="U34" s="380" t="n">
        <v>745.471</v>
      </c>
      <c r="V34" s="381" t="n">
        <v>745.843</v>
      </c>
      <c r="W34" s="456" t="n"/>
      <c r="X34" s="456" t="n"/>
      <c r="Y34" s="456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457">
        <f>IF(AND(NOT(ISNUMBER(Data!W33)),NOT(ISNUMBER(Data!W34))),"-",Data!W33+Data!W34)</f>
        <v/>
      </c>
      <c r="X35" s="457">
        <f>IF(AND(NOT(ISNUMBER(Data!X33)),NOT(ISNUMBER(Data!X34))),"-",Data!X33+Data!X34)</f>
        <v/>
      </c>
      <c r="Y35" s="457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457">
        <f>IFERROR(IF(OR(NOT(ISNUMBER(Data!W35)),NOT(ISNUMBER(Data!W32))),"-",Data!W35-Data!W32),"-")</f>
        <v/>
      </c>
      <c r="X36" s="457">
        <f>IFERROR(IF(OR(NOT(ISNUMBER(Data!X35)),NOT(ISNUMBER(Data!X32))),"-",Data!X35-Data!X32),"-")</f>
        <v/>
      </c>
      <c r="Y36" s="457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/>
      <c r="E37" s="382" t="n">
        <v>331.388</v>
      </c>
      <c r="F37" s="382" t="n">
        <v>1171.636</v>
      </c>
      <c r="G37" s="382" t="n">
        <v>2292.274</v>
      </c>
      <c r="H37" s="382" t="n">
        <v>2570.952</v>
      </c>
      <c r="I37" s="382" t="n">
        <v>3640.267</v>
      </c>
      <c r="J37" s="382" t="n">
        <v>4757.307</v>
      </c>
      <c r="K37" s="382" t="n">
        <v>6113.345</v>
      </c>
      <c r="L37" s="382" t="n">
        <v>7419.119</v>
      </c>
      <c r="M37" s="308" t="inlineStr">
        <is>
          <t>CRWD 10k 2026.pdf | p.82 | Consolidated Balance Sheets | Total current assets | as-printed: 7,419,119</t>
        </is>
      </c>
      <c r="N37" s="383" t="n">
        <v>4841.622</v>
      </c>
      <c r="O37" s="383" t="n">
        <v>5181.648</v>
      </c>
      <c r="P37" s="383" t="n">
        <v>5572.327</v>
      </c>
      <c r="Q37" s="383" t="n">
        <v>6113.345</v>
      </c>
      <c r="R37" s="383" t="n">
        <v>6070.798</v>
      </c>
      <c r="S37" s="383" t="n">
        <v>6534.354</v>
      </c>
      <c r="T37" s="383" t="n">
        <v>6519.282</v>
      </c>
      <c r="U37" s="383" t="n">
        <v>7419.119</v>
      </c>
      <c r="V37" s="384" t="n">
        <v>6301.62</v>
      </c>
      <c r="W37" s="456" t="n"/>
      <c r="X37" s="456" t="n"/>
      <c r="Y37" s="456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/>
      <c r="E38" s="379" t="n">
        <v>281.42</v>
      </c>
      <c r="F38" s="379" t="n">
        <v>493.096</v>
      </c>
      <c r="G38" s="379" t="n">
        <v>863.553</v>
      </c>
      <c r="H38" s="379" t="n">
        <v>1406.83</v>
      </c>
      <c r="I38" s="379" t="n">
        <v>2109.072</v>
      </c>
      <c r="J38" s="379" t="n">
        <v>2697.279</v>
      </c>
      <c r="K38" s="379" t="n">
        <v>3461.05</v>
      </c>
      <c r="L38" s="379" t="n">
        <v>4184.192</v>
      </c>
      <c r="M38" s="308" t="inlineStr">
        <is>
          <t>CRWD 10k 2026.pdf | p.82 | Consolidated Balance Sheets | Total current liabilities | as-printed: 4,184,192</t>
        </is>
      </c>
      <c r="N38" s="380" t="n">
        <v>2683.686</v>
      </c>
      <c r="O38" s="380" t="n">
        <v>2728.319</v>
      </c>
      <c r="P38" s="380" t="n">
        <v>3000.38</v>
      </c>
      <c r="Q38" s="380" t="n">
        <v>3461.05</v>
      </c>
      <c r="R38" s="380" t="n">
        <v>3282.534</v>
      </c>
      <c r="S38" s="380" t="n">
        <v>3475.938</v>
      </c>
      <c r="T38" s="380" t="n">
        <v>3599.895</v>
      </c>
      <c r="U38" s="380" t="n">
        <v>4184.192</v>
      </c>
      <c r="V38" s="381" t="n">
        <v>4115.862</v>
      </c>
      <c r="W38" s="456" t="n"/>
      <c r="X38" s="456" t="n"/>
      <c r="Y38" s="456" t="n"/>
    </row>
    <row r="39" ht="15" customHeight="1" s="74">
      <c r="A39" s="17" t="inlineStr">
        <is>
          <t>Total Assets</t>
        </is>
      </c>
      <c r="B39" s="382" t="n"/>
      <c r="C39" s="382" t="n"/>
      <c r="D39" s="382" t="n"/>
      <c r="E39" s="382" t="n">
        <v>433.219</v>
      </c>
      <c r="F39" s="382" t="n">
        <v>1404.906</v>
      </c>
      <c r="G39" s="382" t="n">
        <v>2732.533</v>
      </c>
      <c r="H39" s="382" t="n">
        <v>3618.381</v>
      </c>
      <c r="I39" s="382" t="n">
        <v>5026.54</v>
      </c>
      <c r="J39" s="382" t="n">
        <v>6646.52</v>
      </c>
      <c r="K39" s="382" t="n">
        <v>8701.578</v>
      </c>
      <c r="L39" s="382" t="n">
        <v>11086.684</v>
      </c>
      <c r="M39" s="308" t="inlineStr">
        <is>
          <t>CRWD 10k 2026.pdf | p.82 | Consolidated Balance Sheets | Total assets | as-printed: 11,086,684</t>
        </is>
      </c>
      <c r="N39" s="383" t="n">
        <v>6841.985000000001</v>
      </c>
      <c r="O39" s="383" t="n">
        <v>7202.474</v>
      </c>
      <c r="P39" s="383" t="n">
        <v>7782.958000000001</v>
      </c>
      <c r="Q39" s="383" t="n">
        <v>8701.578</v>
      </c>
      <c r="R39" s="383" t="n">
        <v>8720.362000000001</v>
      </c>
      <c r="S39" s="383" t="n">
        <v>9288.859</v>
      </c>
      <c r="T39" s="383" t="n">
        <v>9965.347</v>
      </c>
      <c r="U39" s="383" t="n">
        <v>11086.684</v>
      </c>
      <c r="V39" s="384" t="n">
        <v>11270.1</v>
      </c>
      <c r="W39" s="456" t="n"/>
      <c r="X39" s="456" t="n"/>
      <c r="Y39" s="456" t="n"/>
    </row>
    <row r="40" ht="15" customHeight="1" s="74">
      <c r="A40" s="15" t="inlineStr">
        <is>
          <t>Total Liabilities</t>
        </is>
      </c>
      <c r="B40" s="388" t="n"/>
      <c r="C40" s="388" t="n"/>
      <c r="D40" s="388" t="n"/>
      <c r="E40" s="388" t="n">
        <v>363.1</v>
      </c>
      <c r="F40" s="388" t="n">
        <v>662.299</v>
      </c>
      <c r="G40" s="388" t="n">
        <v>1860.659</v>
      </c>
      <c r="H40" s="388" t="n">
        <v>2580.738</v>
      </c>
      <c r="I40" s="388" t="n">
        <v>3539.106</v>
      </c>
      <c r="J40" s="388" t="n">
        <v>4309.431</v>
      </c>
      <c r="K40" s="388" t="n">
        <v>5382.661</v>
      </c>
      <c r="L40" s="388" t="n">
        <v>6614.079</v>
      </c>
      <c r="M40" s="308" t="inlineStr">
        <is>
          <t>CRWD 10k 2026.pdf | p.82 | Consolidated Balance Sheets | Total liabilities | as-printed: 6,614,079</t>
        </is>
      </c>
      <c r="N40" s="389" t="n">
        <v>4273.203</v>
      </c>
      <c r="O40" s="389" t="n">
        <v>4311.884</v>
      </c>
      <c r="P40" s="389" t="n">
        <v>4687.347</v>
      </c>
      <c r="Q40" s="389" t="n">
        <v>5382.661</v>
      </c>
      <c r="R40" s="389" t="n">
        <v>5229.348</v>
      </c>
      <c r="S40" s="389" t="n">
        <v>5494.168</v>
      </c>
      <c r="T40" s="389" t="n">
        <v>5906.33</v>
      </c>
      <c r="U40" s="389" t="n">
        <v>6614.079</v>
      </c>
      <c r="V40" s="390" t="n">
        <v>6594.768</v>
      </c>
      <c r="W40" s="456" t="n"/>
      <c r="X40" s="456" t="n"/>
      <c r="Y40" s="456" t="n"/>
    </row>
    <row r="41" ht="15" customHeight="1" s="74">
      <c r="A41" s="17" t="inlineStr">
        <is>
          <t>Shareholders' Equity</t>
        </is>
      </c>
      <c r="B41" s="382" t="n"/>
      <c r="C41" s="382" t="n"/>
      <c r="D41" s="382" t="n">
        <v>-369.474</v>
      </c>
      <c r="E41" s="382" t="n">
        <v>-487.793</v>
      </c>
      <c r="F41" s="382" t="n">
        <v>742.107</v>
      </c>
      <c r="G41" s="382" t="n">
        <v>870.574</v>
      </c>
      <c r="H41" s="382" t="n">
        <v>1025.764</v>
      </c>
      <c r="I41" s="382" t="n">
        <v>1463.641</v>
      </c>
      <c r="J41" s="382" t="n">
        <v>2303.95</v>
      </c>
      <c r="K41" s="382" t="n">
        <v>3279.494</v>
      </c>
      <c r="L41" s="382" t="n">
        <v>4428.39</v>
      </c>
      <c r="M41" s="308" t="inlineStr">
        <is>
          <t>CRWD 10k 2026.pdf | p.82 | Consolidated Balance Sheets | Total CrowdStrike Holdings, Inc. stockholders' equity | as-printed: 4,428,390</t>
        </is>
      </c>
      <c r="N41" s="383" t="n">
        <v>2535.54</v>
      </c>
      <c r="O41" s="383" t="n">
        <v>2852.915</v>
      </c>
      <c r="P41" s="383" t="n">
        <v>3057.933</v>
      </c>
      <c r="Q41" s="383" t="n">
        <v>3279.494</v>
      </c>
      <c r="R41" s="383" t="n">
        <v>3450.877</v>
      </c>
      <c r="S41" s="383" t="n">
        <v>3756.68</v>
      </c>
      <c r="T41" s="383" t="n">
        <v>4016.497</v>
      </c>
      <c r="U41" s="383" t="n">
        <v>4428.39</v>
      </c>
      <c r="V41" s="384" t="n">
        <v>4633.877</v>
      </c>
      <c r="W41" s="456" t="n"/>
      <c r="X41" s="456" t="n"/>
      <c r="Y41" s="456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>
        <v>0.5</v>
      </c>
      <c r="G42" s="379" t="n">
        <v>1.3</v>
      </c>
      <c r="H42" s="379" t="n">
        <v>11.879</v>
      </c>
      <c r="I42" s="379" t="n">
        <v>23.793</v>
      </c>
      <c r="J42" s="379" t="n">
        <v>33.139</v>
      </c>
      <c r="K42" s="379" t="n">
        <v>39.423</v>
      </c>
      <c r="L42" s="379" t="n">
        <v>44.215</v>
      </c>
      <c r="M42" s="308" t="inlineStr">
        <is>
          <t>CRWD 10k 2026.pdf | p.82 | Consolidated Balance Sheets | Non-controlling interest | as-printed: 44,215</t>
        </is>
      </c>
      <c r="N42" s="380" t="n">
        <v>33.242</v>
      </c>
      <c r="O42" s="380" t="n">
        <v>37.675</v>
      </c>
      <c r="P42" s="380" t="n">
        <v>37.678</v>
      </c>
      <c r="Q42" s="380" t="n">
        <v>39.423</v>
      </c>
      <c r="R42" s="380" t="n">
        <v>40.137</v>
      </c>
      <c r="S42" s="380" t="n">
        <v>38.011</v>
      </c>
      <c r="T42" s="380" t="n">
        <v>42.52</v>
      </c>
      <c r="U42" s="380" t="n">
        <v>44.215</v>
      </c>
      <c r="V42" s="381" t="n">
        <v>41.455</v>
      </c>
      <c r="W42" s="456" t="n"/>
      <c r="X42" s="456" t="n"/>
      <c r="Y42" s="456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/>
      <c r="E43" s="382" t="n">
        <v>7.947</v>
      </c>
      <c r="F43" s="382" t="n">
        <v>7.722</v>
      </c>
      <c r="G43" s="382" t="n">
        <v>83.566</v>
      </c>
      <c r="H43" s="382" t="n">
        <v>416.445</v>
      </c>
      <c r="I43" s="382" t="n">
        <v>430.645</v>
      </c>
      <c r="J43" s="382" t="n">
        <v>638.0410000000001</v>
      </c>
      <c r="K43" s="382" t="n">
        <v>912.8049999999999</v>
      </c>
      <c r="L43" s="382" t="n">
        <v>1363.294</v>
      </c>
      <c r="M43" s="308" t="inlineStr">
        <is>
          <t>CRWD 10k 2026.pdf | p.82 | Consolidated Balance Sheets | Goodwill | as-printed: 1,363,294</t>
        </is>
      </c>
      <c r="N43" s="383" t="n">
        <v>721.9730000000001</v>
      </c>
      <c r="O43" s="383" t="n">
        <v>721.996</v>
      </c>
      <c r="P43" s="383" t="n">
        <v>722.016</v>
      </c>
      <c r="Q43" s="383" t="n">
        <v>912.8049999999999</v>
      </c>
      <c r="R43" s="383" t="n">
        <v>913.285</v>
      </c>
      <c r="S43" s="383" t="n">
        <v>913.325</v>
      </c>
      <c r="T43" s="383" t="n">
        <v>1352.927</v>
      </c>
      <c r="U43" s="383" t="n">
        <v>1363.294</v>
      </c>
      <c r="V43" s="384" t="n">
        <v>2267.493</v>
      </c>
      <c r="W43" s="456" t="n"/>
      <c r="X43" s="456" t="n"/>
      <c r="Y43" s="456" t="n"/>
    </row>
    <row r="44" ht="15" customHeight="1" s="74">
      <c r="A44" s="15" t="inlineStr">
        <is>
          <t>PP&amp;E</t>
        </is>
      </c>
      <c r="B44" s="379" t="n"/>
      <c r="C44" s="379" t="n"/>
      <c r="D44" s="379" t="n"/>
      <c r="E44" s="379" t="n">
        <v>73.735</v>
      </c>
      <c r="F44" s="379" t="n">
        <v>136.078</v>
      </c>
      <c r="G44" s="379" t="n">
        <v>167.014</v>
      </c>
      <c r="H44" s="379" t="n">
        <v>260.577</v>
      </c>
      <c r="I44" s="379" t="n">
        <v>492.335</v>
      </c>
      <c r="J44" s="379" t="n">
        <v>620.172</v>
      </c>
      <c r="K44" s="379" t="n">
        <v>788.64</v>
      </c>
      <c r="L44" s="379" t="n">
        <v>976.331</v>
      </c>
      <c r="M44" s="308" t="inlineStr">
        <is>
          <t>CRWD 10k 2026.pdf | p.82 | Consolidated Balance Sheets | Property and equipment, net | as-printed: 976,331</t>
        </is>
      </c>
      <c r="N44" s="380" t="n">
        <v>627.381</v>
      </c>
      <c r="O44" s="380" t="n">
        <v>648.474</v>
      </c>
      <c r="P44" s="380" t="n">
        <v>746.567</v>
      </c>
      <c r="Q44" s="380" t="n">
        <v>788.64</v>
      </c>
      <c r="R44" s="380" t="n">
        <v>826.0690000000001</v>
      </c>
      <c r="S44" s="380" t="n">
        <v>869.24</v>
      </c>
      <c r="T44" s="380" t="n">
        <v>926.963</v>
      </c>
      <c r="U44" s="380" t="n">
        <v>976.331</v>
      </c>
      <c r="V44" s="381" t="n">
        <v>1066.204</v>
      </c>
      <c r="W44" s="381" t="n"/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/>
      <c r="E45" s="382" t="n">
        <v>92.476</v>
      </c>
      <c r="F45" s="382" t="n">
        <v>164.987</v>
      </c>
      <c r="G45" s="382" t="n">
        <v>239.199</v>
      </c>
      <c r="H45" s="382" t="n">
        <v>368.145</v>
      </c>
      <c r="I45" s="382" t="n">
        <v>626.181</v>
      </c>
      <c r="J45" s="382" t="n">
        <v>853.105</v>
      </c>
      <c r="K45" s="382" t="n">
        <v>1128.564</v>
      </c>
      <c r="L45" s="382" t="n">
        <v>1361.844</v>
      </c>
      <c r="M45" s="308" t="inlineStr">
        <is>
          <t>CRWD 10k 2026.pdf | p.82 | Consolidated Balance Sheets | Accounts receivable, net of allowance for credit losses | as-printed: 1,361,844</t>
        </is>
      </c>
      <c r="N45" s="383" t="n">
        <v>702.856</v>
      </c>
      <c r="O45" s="383" t="n">
        <v>661.045</v>
      </c>
      <c r="P45" s="383" t="n">
        <v>813.922</v>
      </c>
      <c r="Q45" s="383" t="n">
        <v>1128.564</v>
      </c>
      <c r="R45" s="383" t="n">
        <v>808.6940000000001</v>
      </c>
      <c r="S45" s="383" t="n">
        <v>886.557</v>
      </c>
      <c r="T45" s="383" t="n">
        <v>1013.116</v>
      </c>
      <c r="U45" s="383" t="n">
        <v>1361.844</v>
      </c>
      <c r="V45" s="384" t="n">
        <v>933.8870000000001</v>
      </c>
      <c r="W45" s="456" t="n"/>
      <c r="X45" s="456" t="n"/>
      <c r="Y45" s="456" t="n"/>
    </row>
    <row r="46" ht="15" customHeight="1" s="74">
      <c r="A46" s="15" t="inlineStr">
        <is>
          <t>Payables</t>
        </is>
      </c>
      <c r="B46" s="379" t="n"/>
      <c r="C46" s="379" t="n"/>
      <c r="D46" s="379" t="n"/>
      <c r="E46" s="379" t="n">
        <v>6.855</v>
      </c>
      <c r="F46" s="379" t="n">
        <v>1.345</v>
      </c>
      <c r="G46" s="379" t="n">
        <v>12.065</v>
      </c>
      <c r="H46" s="379" t="n">
        <v>47.634</v>
      </c>
      <c r="I46" s="379" t="n">
        <v>45.372</v>
      </c>
      <c r="J46" s="379" t="n">
        <v>28.18</v>
      </c>
      <c r="K46" s="379" t="n">
        <v>130.887</v>
      </c>
      <c r="L46" s="379" t="n">
        <v>105.319</v>
      </c>
      <c r="M46" s="308" t="inlineStr">
        <is>
          <t>CRWD 10k 2026.pdf | p.82 | Consolidated Balance Sheets | Accounts payable | as-printed: 105,319</t>
        </is>
      </c>
      <c r="N46" s="380" t="n">
        <v>21.299</v>
      </c>
      <c r="O46" s="380" t="n">
        <v>21.067</v>
      </c>
      <c r="P46" s="380" t="n">
        <v>79.214</v>
      </c>
      <c r="Q46" s="380" t="n">
        <v>130.887</v>
      </c>
      <c r="R46" s="380" t="n">
        <v>16.404</v>
      </c>
      <c r="S46" s="380" t="n">
        <v>120.554</v>
      </c>
      <c r="T46" s="380" t="n">
        <v>131.596</v>
      </c>
      <c r="U46" s="380" t="n">
        <v>105.319</v>
      </c>
      <c r="V46" s="381" t="n">
        <v>54.221</v>
      </c>
      <c r="W46" s="456" t="n"/>
      <c r="X46" s="456" t="n"/>
      <c r="Y46" s="456" t="n"/>
    </row>
    <row r="47" ht="15" customHeight="1" s="74">
      <c r="A47" s="17" t="inlineStr">
        <is>
          <t>Inventory</t>
        </is>
      </c>
      <c r="B47" s="382" t="n"/>
      <c r="C47" s="382" t="n"/>
      <c r="D47" s="382" t="n"/>
      <c r="E47" s="382" t="n"/>
      <c r="F47" s="382" t="n"/>
      <c r="G47" s="382" t="n"/>
      <c r="H47" s="382" t="n"/>
      <c r="I47" s="382" t="n"/>
      <c r="J47" s="382" t="n"/>
      <c r="K47" s="382" t="n"/>
      <c r="L47" s="382" t="n"/>
      <c r="N47" s="383" t="n">
        <v>0</v>
      </c>
      <c r="O47" s="383" t="n">
        <v>0</v>
      </c>
      <c r="P47" s="383" t="n">
        <v>0</v>
      </c>
      <c r="Q47" s="383" t="n"/>
      <c r="R47" s="383" t="n"/>
      <c r="S47" s="383" t="n">
        <v>0</v>
      </c>
      <c r="T47" s="383" t="n">
        <v>0</v>
      </c>
      <c r="U47" s="383" t="n"/>
      <c r="V47" s="384" t="n">
        <v>0</v>
      </c>
      <c r="W47" s="456" t="n"/>
      <c r="X47" s="456" t="n"/>
      <c r="Y47" s="456" t="n"/>
    </row>
    <row r="48" ht="15" customHeight="1" s="74">
      <c r="A48" s="10" t="inlineStr">
        <is>
          <t>Retained Earnings</t>
        </is>
      </c>
      <c r="B48" s="432" t="n"/>
      <c r="C48" s="432" t="n"/>
      <c r="D48" s="432" t="n">
        <v>-378.948</v>
      </c>
      <c r="E48" s="432" t="n">
        <v>-519.126</v>
      </c>
      <c r="F48" s="432" t="n">
        <v>-637.487</v>
      </c>
      <c r="G48" s="432" t="n">
        <v>-730.116</v>
      </c>
      <c r="H48" s="432" t="n">
        <v>-964.918</v>
      </c>
      <c r="I48" s="432" t="n">
        <v>-1148.163</v>
      </c>
      <c r="J48" s="432" t="n">
        <v>-1058.836</v>
      </c>
      <c r="K48" s="432" t="n">
        <v>-1078.107</v>
      </c>
      <c r="L48" s="432" t="n">
        <v>-1283.042</v>
      </c>
      <c r="M48" s="308" t="inlineStr">
        <is>
          <t>CRWD 10k 2026.pdf | p.82 | Consolidated Balance Sheets | Accumulated deficit | as-printed: (1,283,042)</t>
        </is>
      </c>
      <c r="N48" s="433" t="n">
        <v>-1016.016</v>
      </c>
      <c r="O48" s="433" t="n">
        <v>-969.003</v>
      </c>
      <c r="P48" s="433" t="n">
        <v>-985.825</v>
      </c>
      <c r="Q48" s="433" t="n">
        <v>-1078.107</v>
      </c>
      <c r="R48" s="433" t="n">
        <v>-1188.314</v>
      </c>
      <c r="S48" s="433" t="n">
        <v>-1265.989</v>
      </c>
      <c r="T48" s="433" t="n">
        <v>-1299.986</v>
      </c>
      <c r="U48" s="433" t="n">
        <v>-1283.042</v>
      </c>
      <c r="V48" s="433" t="n">
        <v>-1255.268</v>
      </c>
      <c r="W48" s="458" t="n"/>
      <c r="X48" s="458" t="n"/>
      <c r="Y48" s="458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2016</t>
        </is>
      </c>
      <c r="C50" s="14" t="inlineStr">
        <is>
          <t>2017</t>
        </is>
      </c>
      <c r="D50" s="14" t="inlineStr">
        <is>
          <t>2018</t>
        </is>
      </c>
      <c r="E50" s="14" t="inlineStr">
        <is>
          <t>2019</t>
        </is>
      </c>
      <c r="F50" s="14" t="inlineStr">
        <is>
          <t>2020</t>
        </is>
      </c>
      <c r="G50" s="14" t="inlineStr">
        <is>
          <t>2021</t>
        </is>
      </c>
      <c r="H50" s="14" t="inlineStr">
        <is>
          <t>2022</t>
        </is>
      </c>
      <c r="I50" s="14" t="inlineStr">
        <is>
          <t>2023</t>
        </is>
      </c>
      <c r="J50" s="14" t="inlineStr">
        <is>
          <t>2024</t>
        </is>
      </c>
      <c r="K50" s="14" t="inlineStr">
        <is>
          <t>2025</t>
        </is>
      </c>
      <c r="L50" s="14" t="inlineStr">
        <is>
          <t>2026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/>
      <c r="D51" s="382" t="n">
        <v>-58.766</v>
      </c>
      <c r="E51" s="382" t="n">
        <v>-22.968</v>
      </c>
      <c r="F51" s="382" t="n">
        <v>99.943</v>
      </c>
      <c r="G51" s="382" t="n">
        <v>356.566</v>
      </c>
      <c r="H51" s="382" t="n">
        <v>574.784</v>
      </c>
      <c r="I51" s="382" t="n">
        <v>941.0069999999999</v>
      </c>
      <c r="J51" s="382" t="n">
        <v>1166.207</v>
      </c>
      <c r="K51" s="382" t="n">
        <v>1381.727</v>
      </c>
      <c r="L51" s="382" t="n">
        <v>1612.349</v>
      </c>
      <c r="M51" s="308" t="inlineStr">
        <is>
          <t>CRWD 10k 2026.pdf | p.86 | Consolidated Statements of Cash Flows | Net cash provided by operating activities | as-printed: 1,612,349</t>
        </is>
      </c>
      <c r="N51" s="383" t="n">
        <v>383.2</v>
      </c>
      <c r="O51" s="383" t="n">
        <v>326.6</v>
      </c>
      <c r="P51" s="383" t="n">
        <v>326.1</v>
      </c>
      <c r="Q51" s="383" t="n">
        <v>345.7</v>
      </c>
      <c r="R51" s="383" t="n">
        <v>384.1</v>
      </c>
      <c r="S51" s="383" t="n">
        <v>332.8</v>
      </c>
      <c r="T51" s="383" t="n">
        <v>397.5</v>
      </c>
      <c r="U51" s="383" t="n">
        <v>497.9</v>
      </c>
      <c r="V51" s="384" t="n">
        <v>590.9</v>
      </c>
      <c r="W51" s="456" t="n"/>
      <c r="X51" s="456" t="n"/>
      <c r="Y51" s="456" t="n"/>
    </row>
    <row r="52" ht="15" customHeight="1" s="74">
      <c r="A52" s="15" t="inlineStr">
        <is>
          <t>Capital Expenditures</t>
        </is>
      </c>
      <c r="B52" s="379" t="n"/>
      <c r="C52" s="379" t="n"/>
      <c r="D52" s="379" t="n">
        <v>29.448</v>
      </c>
      <c r="E52" s="379" t="n">
        <v>42.645</v>
      </c>
      <c r="F52" s="379" t="n">
        <v>87.48699999999999</v>
      </c>
      <c r="G52" s="379" t="n">
        <v>63.663</v>
      </c>
      <c r="H52" s="379" t="n">
        <v>133.009</v>
      </c>
      <c r="I52" s="379" t="n">
        <v>264.114</v>
      </c>
      <c r="J52" s="379" t="n">
        <v>225.986</v>
      </c>
      <c r="K52" s="379" t="n">
        <v>313.821</v>
      </c>
      <c r="L52" s="379" t="n">
        <v>370.859</v>
      </c>
      <c r="M52" s="308" t="inlineStr">
        <is>
          <t>CRWD 10k 2026.pdf | p.86 | Consolidated Statements of Cash Flows | Purchases of property and equipment + Capitalized internal-use software and website development costs | as-printed: (370,859)</t>
        </is>
      </c>
      <c r="N52" s="380" t="n">
        <v>60.2</v>
      </c>
      <c r="O52" s="380" t="n">
        <v>53.8</v>
      </c>
      <c r="P52" s="380" t="n">
        <v>95</v>
      </c>
      <c r="Q52" s="380" t="n">
        <v>104.9</v>
      </c>
      <c r="R52" s="380" t="n">
        <v>103.2</v>
      </c>
      <c r="S52" s="380" t="n">
        <v>47.8</v>
      </c>
      <c r="T52" s="380" t="n">
        <v>100.2</v>
      </c>
      <c r="U52" s="380" t="n">
        <v>119.7</v>
      </c>
      <c r="V52" s="381" t="n">
        <v>120.2</v>
      </c>
      <c r="W52" s="456" t="n"/>
      <c r="X52" s="456" t="n"/>
      <c r="Y52" s="456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457">
        <f>IFERROR(IF(OR(NOT(ISNUMBER(Data!W51)),NOT(ISNUMBER(Data!W52))),"-",Data!W51-ABS(Data!W52)),"-")</f>
        <v/>
      </c>
      <c r="X53" s="457">
        <f>IFERROR(IF(OR(NOT(ISNUMBER(Data!X51)),NOT(ISNUMBER(Data!X52))),"-",Data!X51-ABS(Data!X52)),"-")</f>
        <v/>
      </c>
      <c r="Y53" s="457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/>
      <c r="D54" s="379" t="n">
        <v>12.343</v>
      </c>
      <c r="E54" s="379" t="n">
        <v>20.505</v>
      </c>
      <c r="F54" s="379" t="n">
        <v>79.94</v>
      </c>
      <c r="G54" s="379" t="n">
        <v>149.675</v>
      </c>
      <c r="H54" s="379" t="n">
        <v>309.952</v>
      </c>
      <c r="I54" s="379" t="n">
        <v>526.504</v>
      </c>
      <c r="J54" s="379" t="n">
        <v>631.519</v>
      </c>
      <c r="K54" s="379" t="n">
        <v>865.421</v>
      </c>
      <c r="L54" s="379" t="n">
        <v>1096.679</v>
      </c>
      <c r="M54" s="308" t="inlineStr">
        <is>
          <t>CRWD 10k 2026.pdf | p.86 | Consolidated Statements of Cash Flows | Stock-based compensation expense | as-printed: 1,096,679</t>
        </is>
      </c>
      <c r="N54" s="380" t="n">
        <v>183.1</v>
      </c>
      <c r="O54" s="380" t="n">
        <v>200.9</v>
      </c>
      <c r="P54" s="380" t="n">
        <v>208.9</v>
      </c>
      <c r="Q54" s="380" t="n">
        <v>272.5</v>
      </c>
      <c r="R54" s="380" t="n">
        <v>253.6</v>
      </c>
      <c r="S54" s="380" t="n">
        <v>287.2</v>
      </c>
      <c r="T54" s="380" t="n">
        <v>282</v>
      </c>
      <c r="U54" s="380" t="n">
        <v>274</v>
      </c>
      <c r="V54" s="381" t="n">
        <v>297.7</v>
      </c>
      <c r="W54" s="456" t="n"/>
      <c r="X54" s="456" t="n"/>
      <c r="Y54" s="456" t="n"/>
    </row>
    <row r="55" ht="15" customHeight="1" s="74">
      <c r="A55" s="17" t="inlineStr">
        <is>
          <t>Dividends Paid</t>
        </is>
      </c>
      <c r="B55" s="382" t="n"/>
      <c r="C55" s="382" t="n"/>
      <c r="D55" s="382" t="n"/>
      <c r="E55" s="382" t="n"/>
      <c r="F55" s="382" t="n"/>
      <c r="G55" s="382" t="n"/>
      <c r="H55" s="382" t="n"/>
      <c r="I55" s="382" t="n"/>
      <c r="J55" s="382" t="n"/>
      <c r="K55" s="382" t="n"/>
      <c r="L55" s="382" t="n"/>
      <c r="N55" s="383" t="n">
        <v>0</v>
      </c>
      <c r="O55" s="383" t="n">
        <v>0</v>
      </c>
      <c r="P55" s="383" t="n">
        <v>0</v>
      </c>
      <c r="Q55" s="383" t="n"/>
      <c r="R55" s="383" t="n">
        <v>0</v>
      </c>
      <c r="S55" s="383" t="n">
        <v>0</v>
      </c>
      <c r="T55" s="383" t="n">
        <v>0</v>
      </c>
      <c r="U55" s="383" t="n"/>
      <c r="V55" s="384" t="n">
        <v>0</v>
      </c>
      <c r="W55" s="456" t="n"/>
      <c r="X55" s="456" t="n"/>
      <c r="Y55" s="456" t="n"/>
    </row>
    <row r="56" ht="15" customHeight="1" s="74">
      <c r="A56" s="15" t="inlineStr">
        <is>
          <t>Share Repurchases</t>
        </is>
      </c>
      <c r="B56" s="379" t="n"/>
      <c r="C56" s="379" t="n"/>
      <c r="D56" s="379" t="n"/>
      <c r="E56" s="379" t="n"/>
      <c r="F56" s="379" t="n"/>
      <c r="G56" s="379" t="n"/>
      <c r="H56" s="379" t="n"/>
      <c r="I56" s="379" t="n"/>
      <c r="J56" s="379" t="n"/>
      <c r="K56" s="379" t="n"/>
      <c r="L56" s="379" t="n"/>
      <c r="N56" s="380" t="n">
        <v>0</v>
      </c>
      <c r="O56" s="380" t="n">
        <v>0</v>
      </c>
      <c r="P56" s="380" t="n">
        <v>0</v>
      </c>
      <c r="Q56" s="380" t="n"/>
      <c r="R56" s="380" t="n">
        <v>0</v>
      </c>
      <c r="S56" s="380" t="n">
        <v>0</v>
      </c>
      <c r="T56" s="380" t="n">
        <v>0</v>
      </c>
      <c r="U56" s="380" t="n"/>
      <c r="V56" s="381" t="n">
        <v>175.6</v>
      </c>
      <c r="W56" s="456" t="n"/>
      <c r="X56" s="456" t="n"/>
      <c r="Y56" s="456" t="n"/>
    </row>
    <row r="57">
      <c r="A57" s="2" t="inlineStr">
        <is>
          <t>Historical Share Price (Period-End)</t>
        </is>
      </c>
      <c r="B57" s="2" t="n"/>
      <c r="C57" s="2" t="n"/>
      <c r="D57" s="2" t="n"/>
      <c r="E57" s="2" t="n"/>
      <c r="F57" s="2" t="n">
        <v>61.09</v>
      </c>
      <c r="G57" s="2" t="n">
        <v>215.8</v>
      </c>
      <c r="H57" s="2" t="n">
        <v>180.64</v>
      </c>
      <c r="I57" s="2" t="n">
        <v>105.9</v>
      </c>
      <c r="J57" s="2" t="n">
        <v>292.5</v>
      </c>
      <c r="K57" s="2" t="n">
        <v>398.07</v>
      </c>
      <c r="L57" s="2" t="n">
        <v>441.4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459" t="n"/>
      <c r="X57" s="459" t="n"/>
      <c r="Y57" s="459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United States</t>
        </is>
      </c>
      <c r="B61" s="425" t="n"/>
      <c r="C61" s="425" t="n"/>
      <c r="D61" s="425" t="n">
        <v>99.209</v>
      </c>
      <c r="E61" s="425" t="n">
        <v>192.057</v>
      </c>
      <c r="F61" s="425" t="n">
        <v>356.513</v>
      </c>
      <c r="G61" s="425" t="n">
        <v>627.402</v>
      </c>
      <c r="H61" s="425" t="n">
        <v>1046.474</v>
      </c>
      <c r="I61" s="425" t="n">
        <v>1563.567</v>
      </c>
      <c r="J61" s="425" t="n">
        <v>2088.054</v>
      </c>
      <c r="K61" s="425" t="n">
        <v>2682.942</v>
      </c>
      <c r="L61" s="425" t="n">
        <v>3216.654</v>
      </c>
      <c r="M61" s="261" t="n"/>
      <c r="N61" s="395" t="n"/>
      <c r="O61" s="395" t="n"/>
      <c r="P61" s="395" t="n"/>
      <c r="Q61" s="395" t="n"/>
      <c r="R61" s="395" t="n"/>
      <c r="S61" s="395" t="n"/>
      <c r="T61" s="395" t="n"/>
      <c r="U61" s="395" t="n"/>
      <c r="V61" s="395" t="n"/>
      <c r="W61" s="395" t="n"/>
      <c r="X61" s="395" t="n"/>
      <c r="Y61" s="395" t="n"/>
    </row>
    <row r="62">
      <c r="A62" s="263" t="inlineStr">
        <is>
          <t>Europe, Middle East, and Africa</t>
        </is>
      </c>
      <c r="B62" s="426" t="n"/>
      <c r="C62" s="426" t="n"/>
      <c r="D62" s="426" t="n">
        <v>8.923999999999999</v>
      </c>
      <c r="E62" s="426" t="n">
        <v>29.721</v>
      </c>
      <c r="F62" s="426" t="n">
        <v>67.428</v>
      </c>
      <c r="G62" s="426" t="n">
        <v>123.9</v>
      </c>
      <c r="H62" s="426" t="n">
        <v>200.198</v>
      </c>
      <c r="I62" s="426" t="n">
        <v>327.929</v>
      </c>
      <c r="J62" s="426" t="n">
        <v>467.928</v>
      </c>
      <c r="K62" s="426" t="n">
        <v>619.4829999999999</v>
      </c>
      <c r="L62" s="426" t="n">
        <v>782.6660000000001</v>
      </c>
      <c r="M62" s="261" t="n"/>
      <c r="N62" s="395" t="n"/>
      <c r="O62" s="395" t="n"/>
      <c r="P62" s="395" t="n"/>
      <c r="Q62" s="395" t="n"/>
      <c r="R62" s="395" t="n"/>
      <c r="S62" s="395" t="n"/>
      <c r="T62" s="395" t="n"/>
      <c r="U62" s="395" t="n"/>
      <c r="V62" s="395" t="n"/>
      <c r="W62" s="395" t="n"/>
      <c r="X62" s="395" t="n"/>
      <c r="Y62" s="395" t="n"/>
    </row>
    <row r="63">
      <c r="A63" s="259" t="inlineStr">
        <is>
          <t>Asia Pacific</t>
        </is>
      </c>
      <c r="B63" s="425" t="n"/>
      <c r="C63" s="425" t="n"/>
      <c r="D63" s="425" t="n">
        <v>7.966</v>
      </c>
      <c r="E63" s="425" t="n">
        <v>17.213</v>
      </c>
      <c r="F63" s="425" t="n">
        <v>37.672</v>
      </c>
      <c r="G63" s="425" t="n">
        <v>80.185</v>
      </c>
      <c r="H63" s="425" t="n">
        <v>142.686</v>
      </c>
      <c r="I63" s="425" t="n">
        <v>228.124</v>
      </c>
      <c r="J63" s="425" t="n">
        <v>315.524</v>
      </c>
      <c r="K63" s="425" t="n">
        <v>402.453</v>
      </c>
      <c r="L63" s="425" t="n">
        <v>495.701</v>
      </c>
      <c r="M63" s="261" t="n"/>
      <c r="N63" s="395" t="n"/>
      <c r="O63" s="395" t="n"/>
      <c r="P63" s="395" t="n"/>
      <c r="Q63" s="395" t="n"/>
      <c r="R63" s="395" t="n"/>
      <c r="S63" s="395" t="n"/>
      <c r="T63" s="395" t="n"/>
      <c r="U63" s="395" t="n"/>
      <c r="V63" s="395" t="n"/>
      <c r="W63" s="395" t="n"/>
      <c r="X63" s="395" t="n"/>
      <c r="Y63" s="395" t="n"/>
    </row>
    <row r="64">
      <c r="A64" s="263" t="inlineStr">
        <is>
          <t>Other</t>
        </is>
      </c>
      <c r="B64" s="426" t="n"/>
      <c r="C64" s="426" t="n"/>
      <c r="D64" s="426" t="n">
        <v>2.653</v>
      </c>
      <c r="E64" s="426" t="n">
        <v>10.833</v>
      </c>
      <c r="F64" s="426" t="n">
        <v>19.8</v>
      </c>
      <c r="G64" s="426" t="n">
        <v>42.951</v>
      </c>
      <c r="H64" s="426" t="n">
        <v>62.236</v>
      </c>
      <c r="I64" s="426" t="n">
        <v>121.616</v>
      </c>
      <c r="J64" s="426" t="n">
        <v>184.049</v>
      </c>
      <c r="K64" s="426" t="n">
        <v>248.746</v>
      </c>
      <c r="L64" s="426" t="n">
        <v>316.984</v>
      </c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Segment 5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United States</t>
        </is>
      </c>
      <c r="B71" s="425" t="n"/>
      <c r="C71" s="425" t="n"/>
      <c r="D71" s="425" t="n"/>
      <c r="E71" s="425" t="n"/>
      <c r="F71" s="425" t="n"/>
      <c r="G71" s="425" t="n"/>
      <c r="H71" s="425" t="n"/>
      <c r="I71" s="425" t="n"/>
      <c r="J71" s="425" t="n"/>
      <c r="K71" s="425" t="n"/>
      <c r="L71" s="425" t="n"/>
      <c r="M71" s="261" t="n"/>
      <c r="N71" s="395" t="n"/>
      <c r="O71" s="395" t="n"/>
      <c r="P71" s="395" t="n"/>
      <c r="Q71" s="395" t="n"/>
      <c r="R71" s="395" t="n"/>
      <c r="S71" s="395" t="n"/>
      <c r="T71" s="395" t="n"/>
      <c r="U71" s="395" t="n"/>
      <c r="V71" s="395" t="n"/>
      <c r="W71" s="395" t="n"/>
      <c r="X71" s="395" t="n"/>
      <c r="Y71" s="395" t="n"/>
    </row>
    <row r="72">
      <c r="A72" s="263" t="inlineStr">
        <is>
          <t>Europe, Middle East, and Africa</t>
        </is>
      </c>
      <c r="B72" s="426" t="n"/>
      <c r="C72" s="426" t="n"/>
      <c r="D72" s="426" t="n"/>
      <c r="E72" s="426" t="n"/>
      <c r="F72" s="426" t="n"/>
      <c r="G72" s="426" t="n"/>
      <c r="H72" s="426" t="n"/>
      <c r="I72" s="426" t="n"/>
      <c r="J72" s="426" t="n"/>
      <c r="K72" s="426" t="n"/>
      <c r="L72" s="426" t="n"/>
      <c r="M72" s="261" t="n"/>
      <c r="N72" s="395" t="n"/>
      <c r="O72" s="395" t="n"/>
      <c r="P72" s="395" t="n"/>
      <c r="Q72" s="395" t="n"/>
      <c r="R72" s="395" t="n"/>
      <c r="S72" s="395" t="n"/>
      <c r="T72" s="395" t="n"/>
      <c r="U72" s="395" t="n"/>
      <c r="V72" s="395" t="n"/>
      <c r="W72" s="395" t="n"/>
      <c r="X72" s="395" t="n"/>
      <c r="Y72" s="395" t="n"/>
    </row>
    <row r="73">
      <c r="A73" s="259" t="inlineStr">
        <is>
          <t>Asia Pacific</t>
        </is>
      </c>
      <c r="B73" s="425" t="n"/>
      <c r="C73" s="425" t="n"/>
      <c r="D73" s="425" t="n"/>
      <c r="E73" s="425" t="n"/>
      <c r="F73" s="425" t="n"/>
      <c r="G73" s="425" t="n"/>
      <c r="H73" s="425" t="n"/>
      <c r="I73" s="425" t="n"/>
      <c r="J73" s="425" t="n"/>
      <c r="K73" s="425" t="n"/>
      <c r="L73" s="425" t="n"/>
      <c r="M73" s="261" t="n"/>
      <c r="N73" s="395" t="n"/>
      <c r="O73" s="395" t="n"/>
      <c r="P73" s="395" t="n"/>
      <c r="Q73" s="395" t="n"/>
      <c r="R73" s="395" t="n"/>
      <c r="S73" s="395" t="n"/>
      <c r="T73" s="395" t="n"/>
      <c r="U73" s="395" t="n"/>
      <c r="V73" s="395" t="n"/>
      <c r="W73" s="395" t="n"/>
      <c r="X73" s="395" t="n"/>
      <c r="Y73" s="395" t="n"/>
    </row>
    <row r="74">
      <c r="A74" s="263" t="inlineStr">
        <is>
          <t>Other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Segment 5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  <row r="91">
      <c r="A91" s="259" t="inlineStr">
        <is>
          <t>Accounts Payable &amp; Other Current Liab. (combined, $M)</t>
        </is>
      </c>
      <c r="B91" s="425" t="n"/>
      <c r="C91" s="425" t="n"/>
      <c r="D91" s="425" t="n"/>
      <c r="E91" s="425" t="n"/>
      <c r="F91" s="425" t="n"/>
      <c r="G91" s="425" t="n"/>
      <c r="H91" s="425" t="n"/>
      <c r="I91" s="425" t="n"/>
      <c r="J91" s="425" t="n"/>
      <c r="K91" s="425" t="n"/>
      <c r="L91" s="425" t="n"/>
      <c r="M91" s="261" t="n"/>
      <c r="N91" s="261" t="n"/>
      <c r="O91" s="261" t="n"/>
      <c r="P91" s="261" t="n"/>
      <c r="Q91" s="261" t="n"/>
      <c r="R91" s="261" t="n"/>
      <c r="S91" s="261" t="n"/>
      <c r="T91" s="261" t="n"/>
      <c r="U91" s="261" t="n"/>
      <c r="V91" s="261" t="n"/>
      <c r="W91" s="261" t="n"/>
      <c r="X91" s="261" t="n"/>
      <c r="Y91" s="261" t="n"/>
    </row>
    <row r="92">
      <c r="A92" s="259" t="inlineStr">
        <is>
          <t>Core Diluted EPS (non-GAAP, management measure)</t>
        </is>
      </c>
      <c r="B92" s="430" t="n"/>
      <c r="C92" s="430" t="n"/>
      <c r="D92" s="430" t="n"/>
      <c r="E92" s="430" t="n"/>
      <c r="F92" s="430" t="n"/>
      <c r="G92" s="430" t="n"/>
      <c r="H92" s="430" t="n"/>
      <c r="I92" s="430" t="n"/>
      <c r="J92" s="430" t="n"/>
      <c r="K92" s="430" t="n"/>
      <c r="L92" s="430" t="n"/>
      <c r="M92" s="436" t="n"/>
      <c r="N92" s="436" t="n"/>
      <c r="O92" s="436" t="n"/>
      <c r="P92" s="436" t="n"/>
      <c r="Q92" s="436" t="n"/>
      <c r="R92" s="436" t="n"/>
      <c r="S92" s="436" t="n"/>
      <c r="T92" s="436" t="n"/>
      <c r="U92" s="436" t="n"/>
      <c r="V92" s="436" t="n"/>
      <c r="W92" s="436" t="n"/>
      <c r="X92" s="436" t="n"/>
      <c r="Y92" s="436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0.0469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1.23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0.015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0.0376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0.21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0.22</v>
      </c>
      <c r="C20" s="401" t="n">
        <v>0.19</v>
      </c>
      <c r="D20" s="401" t="n">
        <v>0.16</v>
      </c>
      <c r="E20" s="401" t="n">
        <v>0.13</v>
      </c>
      <c r="F20" s="401" t="n">
        <v>0.11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0.05</v>
      </c>
      <c r="C21" s="402" t="n">
        <v>0.09</v>
      </c>
      <c r="D21" s="402" t="n">
        <v>0.12</v>
      </c>
      <c r="E21" s="402" t="n">
        <v>0.15</v>
      </c>
      <c r="F21" s="402" t="n">
        <v>0.17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0.055</v>
      </c>
      <c r="C22" s="401" t="n">
        <v>0.05</v>
      </c>
      <c r="D22" s="401" t="n">
        <v>0.05</v>
      </c>
      <c r="E22" s="401" t="n">
        <v>0.045</v>
      </c>
      <c r="F22" s="401" t="n">
        <v>0.045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0.075</v>
      </c>
      <c r="C23" s="402" t="n">
        <v>0.07000000000000001</v>
      </c>
      <c r="D23" s="402" t="n">
        <v>0.065</v>
      </c>
      <c r="E23" s="402" t="n">
        <v>0.06</v>
      </c>
      <c r="F23" s="402" t="n">
        <v>0.055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-0.02</v>
      </c>
      <c r="C24" s="401" t="n">
        <v>-0.02</v>
      </c>
      <c r="D24" s="401" t="n">
        <v>-0.015</v>
      </c>
      <c r="E24" s="401" t="n">
        <v>-0.01</v>
      </c>
      <c r="F24" s="401" t="n">
        <v>-0.01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0.21</v>
      </c>
      <c r="C25" s="402" t="n">
        <v>0.21</v>
      </c>
      <c r="D25" s="402" t="n">
        <v>0.21</v>
      </c>
      <c r="E25" s="402" t="n">
        <v>0.21</v>
      </c>
      <c r="F25" s="402" t="n">
        <v>0.21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0.03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22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2" t="n"/>
      <c r="B41" s="408" t="n"/>
      <c r="C41" s="2" t="n"/>
      <c r="D41" s="2" t="n"/>
      <c r="E41" s="2" t="n"/>
      <c r="F41" s="2" t="n"/>
      <c r="G41" s="2" t="n"/>
      <c r="H41" s="2" t="n"/>
      <c r="I41" s="2" t="n"/>
      <c r="J41" s="2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IFERROR(F40*(1+B26)/($B$15-B26),"-")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>
        <f>IFERROR(Data!L42,"-")</f>
        <v/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2" t="n"/>
      <c r="B81" s="408" t="n"/>
      <c r="C81" s="2" t="n"/>
      <c r="D81" s="2" t="n"/>
      <c r="E81" s="2" t="n"/>
      <c r="F81" s="2" t="n"/>
      <c r="G81" s="2" t="n"/>
      <c r="H81" s="2" t="n"/>
      <c r="I81" s="2" t="n"/>
      <c r="J81" s="2" t="n"/>
    </row>
    <row r="82" ht="15" customHeight="1" s="74">
      <c r="A82" s="321" t="inlineStr">
        <is>
          <t>TV (Perpetuity Growth)</t>
        </is>
      </c>
      <c r="B82" s="407">
        <f>IFERROR(F80*(1+$B$73)/($B$15-$B$73),"-")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324" t="n"/>
      <c r="B89" s="405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2" t="n"/>
      <c r="B107" s="408" t="n"/>
      <c r="C107" s="2" t="n"/>
      <c r="D107" s="2" t="n"/>
      <c r="E107" s="2" t="n"/>
      <c r="F107" s="2" t="n"/>
      <c r="G107" s="2" t="n"/>
      <c r="H107" s="2" t="n"/>
      <c r="I107" s="2" t="n"/>
      <c r="J107" s="2" t="n"/>
    </row>
    <row r="108" ht="15" customHeight="1" s="74">
      <c r="A108" s="321" t="inlineStr">
        <is>
          <t>TV (Perpetuity Growth)</t>
        </is>
      </c>
      <c r="B108" s="407">
        <f>IFERROR(F106*(1+$B$99)/($B$15-$B$99),"-")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324" t="n"/>
      <c r="B115" s="405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 t="n"/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/>
      <c r="C118" s="416" t="n"/>
      <c r="D118" s="335" t="n"/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n"/>
    </row>
    <row r="119" ht="15" customHeight="1" s="74">
      <c r="A119" s="313" t="inlineStr">
        <is>
          <t>EV/EBITDA × EBITDA</t>
        </is>
      </c>
      <c r="B119" s="407" t="n"/>
      <c r="C119" s="404" t="n"/>
      <c r="D119" s="334" t="n"/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n"/>
    </row>
    <row r="120" ht="15" customHeight="1" s="74">
      <c r="A120" s="313" t="inlineStr">
        <is>
          <t>EV/EBIT × EBIT</t>
        </is>
      </c>
      <c r="B120" s="407" t="n"/>
      <c r="C120" s="416" t="n"/>
      <c r="D120" s="335" t="n"/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n"/>
    </row>
    <row r="121" ht="15" customHeight="1" s="74">
      <c r="A121" s="313" t="inlineStr">
        <is>
          <t>P/FCF × FCF/Share</t>
        </is>
      </c>
      <c r="B121" s="419" t="n">
        <v>175.9</v>
      </c>
      <c r="C121" s="404" t="n"/>
      <c r="D121" s="334" t="n">
        <v>9.800000000000001</v>
      </c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0.0057</v>
      </c>
      <c r="C122" s="401" t="n"/>
      <c r="D122" s="335" t="n">
        <v>0.1023</v>
      </c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n"/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n"/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n"/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214.42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(down) / TGR (across) | 2.0% | 2.5% | 3.0% | 3.5% | 4.0% |
|---|---|---|---|---|---|
| 10.4% | 12.2 | 12.6 | 13.2 | 13.8 | 14.4 |
| 10.9% | 11.7 | 12.1 | 12.5 | 13.0 | 13.6 |
| **11.4%** | 11.2 | 11.5 | **11.9** | 12.4 | 12.9 |
| 11.9% | 10.8 | 11.1 | 11.4 | 11.8 | 12.2 |
| 12.4% | 10.4 | 10.6 | 10.9 | 11.3 | 11.7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IFERROR(IF(AND(ISNUMBER(B20),ISNUMBER(B21),ISNUMBER(B26)),(B40/(1+$A149)^1+C40/(1+$A149)^2+D40/(1+$A149)^3+E40/(1+$A149)^4+F40/(1+$A149)^5+(F40*(1+B$148)/($A149-B$148))/(1+$A149)^5-B56-B57+B58)/B60,"-"),"-")</f>
        <v/>
      </c>
      <c r="C149" s="351">
        <f>IFERROR(IF(AND(ISNUMBER(B20),ISNUMBER(B21),ISNUMBER(B26)),(B40/(1+$A149)^1+C40/(1+$A149)^2+D40/(1+$A149)^3+E40/(1+$A149)^4+F40/(1+$A149)^5+(F40*(1+C$148)/($A149-C$148))/(1+$A149)^5-B56-B57+B58)/B60,"-"),"-")</f>
        <v/>
      </c>
      <c r="D149" s="351">
        <f>IFERROR(IF(AND(ISNUMBER(B20),ISNUMBER(B21),ISNUMBER(B26)),(B40/(1+$A149)^1+C40/(1+$A149)^2+D40/(1+$A149)^3+E40/(1+$A149)^4+F40/(1+$A149)^5+(F40*(1+D$148)/($A149-D$148))/(1+$A149)^5-B56-B57+B58)/B60,"-"),"-")</f>
        <v/>
      </c>
      <c r="E149" s="351">
        <f>IFERROR(IF(AND(ISNUMBER(B20),ISNUMBER(B21),ISNUMBER(B26)),(B40/(1+$A149)^1+C40/(1+$A149)^2+D40/(1+$A149)^3+E40/(1+$A149)^4+F40/(1+$A149)^5+(F40*(1+E$148)/($A149-E$148))/(1+$A149)^5-B56-B57+B58)/B60,"-"),"-")</f>
        <v/>
      </c>
      <c r="F149" s="351">
        <f>IFERROR(IF(AND(ISNUMBER(B20),ISNUMBER(B21),ISNUMBER(B26)),(B40/(1+$A149)^1+C40/(1+$A149)^2+D40/(1+$A149)^3+E40/(1+$A149)^4+F40/(1+$A149)^5+(F40*(1+F$148)/($A149-F$148))/(1+$A149)^5-B56-B57+B58)/B60,"-"),"-")</f>
        <v/>
      </c>
      <c r="G149" s="351">
        <f>IFERROR(IF(AND(ISNUMBER(B20),ISNUMBER(B21),ISNUMBER(B26)),(B40/(1+$A149)^1+C40/(1+$A149)^2+D40/(1+$A149)^3+E40/(1+$A149)^4+F40/(1+$A149)^5+(F40*(1+G$148)/($A149-G$148))/(1+$A149)^5-B56-B57+B58)/B60,"-"),"-")</f>
        <v/>
      </c>
      <c r="H149" s="351">
        <f>IFERROR(IF(AND(ISNUMBER(B20),ISNUMBER(B21),ISNUMBER(B26)),(B40/(1+$A149)^1+C40/(1+$A149)^2+D40/(1+$A149)^3+E40/(1+$A149)^4+F40/(1+$A149)^5+(F40*(1+H$148)/($A149-H$148))/(1+$A149)^5-B56-B57+B58)/B60,"-"),"-")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IFERROR(IF(AND(ISNUMBER(B20),ISNUMBER(B21),ISNUMBER(B26)),(B40/(1+$A150)^1+C40/(1+$A150)^2+D40/(1+$A150)^3+E40/(1+$A150)^4+F40/(1+$A150)^5+(F40*(1+B$148)/($A150-B$148))/(1+$A150)^5-B56-B57+B58)/B60,"-"),"-")</f>
        <v/>
      </c>
      <c r="C150" s="350">
        <f>IFERROR(IF(AND(ISNUMBER(B20),ISNUMBER(B21),ISNUMBER(B26)),(B40/(1+$A150)^1+C40/(1+$A150)^2+D40/(1+$A150)^3+E40/(1+$A150)^4+F40/(1+$A150)^5+(F40*(1+C$148)/($A150-C$148))/(1+$A150)^5-B56-B57+B58)/B60,"-"),"-")</f>
        <v/>
      </c>
      <c r="D150" s="350">
        <f>IFERROR(IF(AND(ISNUMBER(B20),ISNUMBER(B21),ISNUMBER(B26)),(B40/(1+$A150)^1+C40/(1+$A150)^2+D40/(1+$A150)^3+E40/(1+$A150)^4+F40/(1+$A150)^5+(F40*(1+D$148)/($A150-D$148))/(1+$A150)^5-B56-B57+B58)/B60,"-"),"-")</f>
        <v/>
      </c>
      <c r="E150" s="350">
        <f>IFERROR(IF(AND(ISNUMBER(B20),ISNUMBER(B21),ISNUMBER(B26)),(B40/(1+$A150)^1+C40/(1+$A150)^2+D40/(1+$A150)^3+E40/(1+$A150)^4+F40/(1+$A150)^5+(F40*(1+E$148)/($A150-E$148))/(1+$A150)^5-B56-B57+B58)/B60,"-"),"-")</f>
        <v/>
      </c>
      <c r="F150" s="350">
        <f>IFERROR(IF(AND(ISNUMBER(B20),ISNUMBER(B21),ISNUMBER(B26)),(B40/(1+$A150)^1+C40/(1+$A150)^2+D40/(1+$A150)^3+E40/(1+$A150)^4+F40/(1+$A150)^5+(F40*(1+F$148)/($A150-F$148))/(1+$A150)^5-B56-B57+B58)/B60,"-"),"-")</f>
        <v/>
      </c>
      <c r="G150" s="350">
        <f>IFERROR(IF(AND(ISNUMBER(B20),ISNUMBER(B21),ISNUMBER(B26)),(B40/(1+$A150)^1+C40/(1+$A150)^2+D40/(1+$A150)^3+E40/(1+$A150)^4+F40/(1+$A150)^5+(F40*(1+G$148)/($A150-G$148))/(1+$A150)^5-B56-B57+B58)/B60,"-"),"-")</f>
        <v/>
      </c>
      <c r="H150" s="350">
        <f>IFERROR(IF(AND(ISNUMBER(B20),ISNUMBER(B21),ISNUMBER(B26)),(B40/(1+$A150)^1+C40/(1+$A150)^2+D40/(1+$A150)^3+E40/(1+$A150)^4+F40/(1+$A150)^5+(F40*(1+H$148)/($A150-H$148))/(1+$A150)^5-B56-B57+B58)/B60,"-"),"-")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IFERROR(IF(AND(ISNUMBER(B20),ISNUMBER(B21),ISNUMBER(B26)),(B40/(1+$A151)^1+C40/(1+$A151)^2+D40/(1+$A151)^3+E40/(1+$A151)^4+F40/(1+$A151)^5+(F40*(1+B$148)/($A151-B$148))/(1+$A151)^5-B56-B57+B58)/B60,"-"),"-")</f>
        <v/>
      </c>
      <c r="C151" s="351">
        <f>IFERROR(IF(AND(ISNUMBER(B20),ISNUMBER(B21),ISNUMBER(B26)),(B40/(1+$A151)^1+C40/(1+$A151)^2+D40/(1+$A151)^3+E40/(1+$A151)^4+F40/(1+$A151)^5+(F40*(1+C$148)/($A151-C$148))/(1+$A151)^5-B56-B57+B58)/B60,"-"),"-")</f>
        <v/>
      </c>
      <c r="D151" s="351">
        <f>IFERROR(IF(AND(ISNUMBER(B20),ISNUMBER(B21),ISNUMBER(B26)),(B40/(1+$A151)^1+C40/(1+$A151)^2+D40/(1+$A151)^3+E40/(1+$A151)^4+F40/(1+$A151)^5+(F40*(1+D$148)/($A151-D$148))/(1+$A151)^5-B56-B57+B58)/B60,"-"),"-")</f>
        <v/>
      </c>
      <c r="E151" s="351">
        <f>IFERROR(IF(AND(ISNUMBER(B20),ISNUMBER(B21),ISNUMBER(B26)),(B40/(1+$A151)^1+C40/(1+$A151)^2+D40/(1+$A151)^3+E40/(1+$A151)^4+F40/(1+$A151)^5+(F40*(1+E$148)/($A151-E$148))/(1+$A151)^5-B56-B57+B58)/B60,"-"),"-")</f>
        <v/>
      </c>
      <c r="F151" s="351">
        <f>IFERROR(IF(AND(ISNUMBER(B20),ISNUMBER(B21),ISNUMBER(B26)),(B40/(1+$A151)^1+C40/(1+$A151)^2+D40/(1+$A151)^3+E40/(1+$A151)^4+F40/(1+$A151)^5+(F40*(1+F$148)/($A151-F$148))/(1+$A151)^5-B56-B57+B58)/B60,"-"),"-")</f>
        <v/>
      </c>
      <c r="G151" s="351">
        <f>IFERROR(IF(AND(ISNUMBER(B20),ISNUMBER(B21),ISNUMBER(B26)),(B40/(1+$A151)^1+C40/(1+$A151)^2+D40/(1+$A151)^3+E40/(1+$A151)^4+F40/(1+$A151)^5+(F40*(1+G$148)/($A151-G$148))/(1+$A151)^5-B56-B57+B58)/B60,"-"),"-")</f>
        <v/>
      </c>
      <c r="H151" s="351">
        <f>IFERROR(IF(AND(ISNUMBER(B20),ISNUMBER(B21),ISNUMBER(B26)),(B40/(1+$A151)^1+C40/(1+$A151)^2+D40/(1+$A151)^3+E40/(1+$A151)^4+F40/(1+$A151)^5+(F40*(1+H$148)/($A151-H$148))/(1+$A151)^5-B56-B57+B58)/B60,"-"),"-")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IFERROR(IF(AND(ISNUMBER(B20),ISNUMBER(B21),ISNUMBER(B26)),(B40/(1+$A152)^1+C40/(1+$A152)^2+D40/(1+$A152)^3+E40/(1+$A152)^4+F40/(1+$A152)^5+(F40*(1+B$148)/($A152-B$148))/(1+$A152)^5-B56-B57+B58)/B60,"-"),"-")</f>
        <v/>
      </c>
      <c r="C152" s="350">
        <f>IFERROR(IF(AND(ISNUMBER(B20),ISNUMBER(B21),ISNUMBER(B26)),(B40/(1+$A152)^1+C40/(1+$A152)^2+D40/(1+$A152)^3+E40/(1+$A152)^4+F40/(1+$A152)^5+(F40*(1+C$148)/($A152-C$148))/(1+$A152)^5-B56-B57+B58)/B60,"-"),"-")</f>
        <v/>
      </c>
      <c r="D152" s="350">
        <f>IFERROR(IF(AND(ISNUMBER(B20),ISNUMBER(B21),ISNUMBER(B26)),(B40/(1+$A152)^1+C40/(1+$A152)^2+D40/(1+$A152)^3+E40/(1+$A152)^4+F40/(1+$A152)^5+(F40*(1+D$148)/($A152-D$148))/(1+$A152)^5-B56-B57+B58)/B60,"-"),"-")</f>
        <v/>
      </c>
      <c r="E152" s="350">
        <f>IFERROR(IF(AND(ISNUMBER(B20),ISNUMBER(B21),ISNUMBER(B26)),(B40/(1+$A152)^1+C40/(1+$A152)^2+D40/(1+$A152)^3+E40/(1+$A152)^4+F40/(1+$A152)^5+(F40*(1+E$148)/($A152-E$148))/(1+$A152)^5-B56-B57+B58)/B60,"-"),"-")</f>
        <v/>
      </c>
      <c r="F152" s="350">
        <f>IFERROR(IF(AND(ISNUMBER(B20),ISNUMBER(B21),ISNUMBER(B26)),(B40/(1+$A152)^1+C40/(1+$A152)^2+D40/(1+$A152)^3+E40/(1+$A152)^4+F40/(1+$A152)^5+(F40*(1+F$148)/($A152-F$148))/(1+$A152)^5-B56-B57+B58)/B60,"-"),"-")</f>
        <v/>
      </c>
      <c r="G152" s="350">
        <f>IFERROR(IF(AND(ISNUMBER(B20),ISNUMBER(B21),ISNUMBER(B26)),(B40/(1+$A152)^1+C40/(1+$A152)^2+D40/(1+$A152)^3+E40/(1+$A152)^4+F40/(1+$A152)^5+(F40*(1+G$148)/($A152-G$148))/(1+$A152)^5-B56-B57+B58)/B60,"-"),"-")</f>
        <v/>
      </c>
      <c r="H152" s="350">
        <f>IFERROR(IF(AND(ISNUMBER(B20),ISNUMBER(B21),ISNUMBER(B26)),(B40/(1+$A152)^1+C40/(1+$A152)^2+D40/(1+$A152)^3+E40/(1+$A152)^4+F40/(1+$A152)^5+(F40*(1+H$148)/($A152-H$148))/(1+$A152)^5-B56-B57+B58)/B60,"-"),"-")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IFERROR(IF(AND(ISNUMBER(B20),ISNUMBER(B21),ISNUMBER(B26)),(B40/(1+$A153)^1+C40/(1+$A153)^2+D40/(1+$A153)^3+E40/(1+$A153)^4+F40/(1+$A153)^5+(F40*(1+B$148)/($A153-B$148))/(1+$A153)^5-B56-B57+B58)/B60,"-"),"-")</f>
        <v/>
      </c>
      <c r="C153" s="351">
        <f>IFERROR(IF(AND(ISNUMBER(B20),ISNUMBER(B21),ISNUMBER(B26)),(B40/(1+$A153)^1+C40/(1+$A153)^2+D40/(1+$A153)^3+E40/(1+$A153)^4+F40/(1+$A153)^5+(F40*(1+C$148)/($A153-C$148))/(1+$A153)^5-B56-B57+B58)/B60,"-"),"-")</f>
        <v/>
      </c>
      <c r="D153" s="351">
        <f>IFERROR(IF(AND(ISNUMBER(B20),ISNUMBER(B21),ISNUMBER(B26)),(B40/(1+$A153)^1+C40/(1+$A153)^2+D40/(1+$A153)^3+E40/(1+$A153)^4+F40/(1+$A153)^5+(F40*(1+D$148)/($A153-D$148))/(1+$A153)^5-B56-B57+B58)/B60,"-"),"-")</f>
        <v/>
      </c>
      <c r="E153" s="366">
        <f>IFERROR(IF(AND(ISNUMBER(B20),ISNUMBER(B21),ISNUMBER(B26)),(B40/(1+$A153)^1+C40/(1+$A153)^2+D40/(1+$A153)^3+E40/(1+$A153)^4+F40/(1+$A153)^5+(F40*(1+E$148)/($A153-E$148))/(1+$A153)^5-B56-B57+B58)/B60,"-"),"-")</f>
        <v/>
      </c>
      <c r="F153" s="351">
        <f>IFERROR(IF(AND(ISNUMBER(B20),ISNUMBER(B21),ISNUMBER(B26)),(B40/(1+$A153)^1+C40/(1+$A153)^2+D40/(1+$A153)^3+E40/(1+$A153)^4+F40/(1+$A153)^5+(F40*(1+F$148)/($A153-F$148))/(1+$A153)^5-B56-B57+B58)/B60,"-"),"-")</f>
        <v/>
      </c>
      <c r="G153" s="351">
        <f>IFERROR(IF(AND(ISNUMBER(B20),ISNUMBER(B21),ISNUMBER(B26)),(B40/(1+$A153)^1+C40/(1+$A153)^2+D40/(1+$A153)^3+E40/(1+$A153)^4+F40/(1+$A153)^5+(F40*(1+G$148)/($A153-G$148))/(1+$A153)^5-B56-B57+B58)/B60,"-"),"-")</f>
        <v/>
      </c>
      <c r="H153" s="351">
        <f>IFERROR(IF(AND(ISNUMBER(B20),ISNUMBER(B21),ISNUMBER(B26)),(B40/(1+$A153)^1+C40/(1+$A153)^2+D40/(1+$A153)^3+E40/(1+$A153)^4+F40/(1+$A153)^5+(F40*(1+H$148)/($A153-H$148))/(1+$A153)^5-B56-B57+B58)/B60,"-"),"-")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IFERROR(IF(AND(ISNUMBER(B20),ISNUMBER(B21),ISNUMBER(B26)),(B40/(1+$A154)^1+C40/(1+$A154)^2+D40/(1+$A154)^3+E40/(1+$A154)^4+F40/(1+$A154)^5+(F40*(1+B$148)/($A154-B$148))/(1+$A154)^5-B56-B57+B58)/B60,"-"),"-")</f>
        <v/>
      </c>
      <c r="C154" s="350">
        <f>IFERROR(IF(AND(ISNUMBER(B20),ISNUMBER(B21),ISNUMBER(B26)),(B40/(1+$A154)^1+C40/(1+$A154)^2+D40/(1+$A154)^3+E40/(1+$A154)^4+F40/(1+$A154)^5+(F40*(1+C$148)/($A154-C$148))/(1+$A154)^5-B56-B57+B58)/B60,"-"),"-")</f>
        <v/>
      </c>
      <c r="D154" s="350">
        <f>IFERROR(IF(AND(ISNUMBER(B20),ISNUMBER(B21),ISNUMBER(B26)),(B40/(1+$A154)^1+C40/(1+$A154)^2+D40/(1+$A154)^3+E40/(1+$A154)^4+F40/(1+$A154)^5+(F40*(1+D$148)/($A154-D$148))/(1+$A154)^5-B56-B57+B58)/B60,"-"),"-")</f>
        <v/>
      </c>
      <c r="E154" s="350">
        <f>IFERROR(IF(AND(ISNUMBER(B20),ISNUMBER(B21),ISNUMBER(B26)),(B40/(1+$A154)^1+C40/(1+$A154)^2+D40/(1+$A154)^3+E40/(1+$A154)^4+F40/(1+$A154)^5+(F40*(1+E$148)/($A154-E$148))/(1+$A154)^5-B56-B57+B58)/B60,"-"),"-")</f>
        <v/>
      </c>
      <c r="F154" s="350">
        <f>IFERROR(IF(AND(ISNUMBER(B20),ISNUMBER(B21),ISNUMBER(B26)),(B40/(1+$A154)^1+C40/(1+$A154)^2+D40/(1+$A154)^3+E40/(1+$A154)^4+F40/(1+$A154)^5+(F40*(1+F$148)/($A154-F$148))/(1+$A154)^5-B56-B57+B58)/B60,"-"),"-")</f>
        <v/>
      </c>
      <c r="G154" s="350">
        <f>IFERROR(IF(AND(ISNUMBER(B20),ISNUMBER(B21),ISNUMBER(B26)),(B40/(1+$A154)^1+C40/(1+$A154)^2+D40/(1+$A154)^3+E40/(1+$A154)^4+F40/(1+$A154)^5+(F40*(1+G$148)/($A154-G$148))/(1+$A154)^5-B56-B57+B58)/B60,"-"),"-")</f>
        <v/>
      </c>
      <c r="H154" s="350">
        <f>IFERROR(IF(AND(ISNUMBER(B20),ISNUMBER(B21),ISNUMBER(B26)),(B40/(1+$A154)^1+C40/(1+$A154)^2+D40/(1+$A154)^3+E40/(1+$A154)^4+F40/(1+$A154)^5+(F40*(1+H$148)/($A154-H$148))/(1+$A154)^5-B56-B57+B58)/B60,"-"),"-")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IFERROR(IF(AND(ISNUMBER(B20),ISNUMBER(B21),ISNUMBER(B26)),(B40/(1+$A155)^1+C40/(1+$A155)^2+D40/(1+$A155)^3+E40/(1+$A155)^4+F40/(1+$A155)^5+(F40*(1+B$148)/($A155-B$148))/(1+$A155)^5-B56-B57+B58)/B60,"-"),"-")</f>
        <v/>
      </c>
      <c r="C155" s="351">
        <f>IFERROR(IF(AND(ISNUMBER(B20),ISNUMBER(B21),ISNUMBER(B26)),(B40/(1+$A155)^1+C40/(1+$A155)^2+D40/(1+$A155)^3+E40/(1+$A155)^4+F40/(1+$A155)^5+(F40*(1+C$148)/($A155-C$148))/(1+$A155)^5-B56-B57+B58)/B60,"-"),"-")</f>
        <v/>
      </c>
      <c r="D155" s="351">
        <f>IFERROR(IF(AND(ISNUMBER(B20),ISNUMBER(B21),ISNUMBER(B26)),(B40/(1+$A155)^1+C40/(1+$A155)^2+D40/(1+$A155)^3+E40/(1+$A155)^4+F40/(1+$A155)^5+(F40*(1+D$148)/($A155-D$148))/(1+$A155)^5-B56-B57+B58)/B60,"-"),"-")</f>
        <v/>
      </c>
      <c r="E155" s="351">
        <f>IFERROR(IF(AND(ISNUMBER(B20),ISNUMBER(B21),ISNUMBER(B26)),(B40/(1+$A155)^1+C40/(1+$A155)^2+D40/(1+$A155)^3+E40/(1+$A155)^4+F40/(1+$A155)^5+(F40*(1+E$148)/($A155-E$148))/(1+$A155)^5-B56-B57+B58)/B60,"-"),"-")</f>
        <v/>
      </c>
      <c r="F155" s="351">
        <f>IFERROR(IF(AND(ISNUMBER(B20),ISNUMBER(B21),ISNUMBER(B26)),(B40/(1+$A155)^1+C40/(1+$A155)^2+D40/(1+$A155)^3+E40/(1+$A155)^4+F40/(1+$A155)^5+(F40*(1+F$148)/($A155-F$148))/(1+$A155)^5-B56-B57+B58)/B60,"-"),"-")</f>
        <v/>
      </c>
      <c r="G155" s="351">
        <f>IFERROR(IF(AND(ISNUMBER(B20),ISNUMBER(B21),ISNUMBER(B26)),(B40/(1+$A155)^1+C40/(1+$A155)^2+D40/(1+$A155)^3+E40/(1+$A155)^4+F40/(1+$A155)^5+(F40*(1+G$148)/($A155-G$148))/(1+$A155)^5-B56-B57+B58)/B60,"-"),"-")</f>
        <v/>
      </c>
      <c r="H155" s="351">
        <f>IFERROR(IF(AND(ISNUMBER(B20),ISNUMBER(B21),ISNUMBER(B26)),(B40/(1+$A155)^1+C40/(1+$A155)^2+D40/(1+$A155)^3+E40/(1+$A155)^4+F40/(1+$A155)^5+(F40*(1+H$148)/($A155-H$148))/(1+$A155)^5-B56-B57+B58)/B60,"-"),"-")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IFERROR(IF(AND(ISNUMBER(B20),ISNUMBER(B21),ISNUMBER(B26)),(B40/(1+$A156)^1+C40/(1+$A156)^2+D40/(1+$A156)^3+E40/(1+$A156)^4+F40/(1+$A156)^5+(F40*(1+B$148)/($A156-B$148))/(1+$A156)^5-B56-B57+B58)/B60,"-"),"-")</f>
        <v/>
      </c>
      <c r="C156" s="350">
        <f>IFERROR(IF(AND(ISNUMBER(B20),ISNUMBER(B21),ISNUMBER(B26)),(B40/(1+$A156)^1+C40/(1+$A156)^2+D40/(1+$A156)^3+E40/(1+$A156)^4+F40/(1+$A156)^5+(F40*(1+C$148)/($A156-C$148))/(1+$A156)^5-B56-B57+B58)/B60,"-"),"-")</f>
        <v/>
      </c>
      <c r="D156" s="350">
        <f>IFERROR(IF(AND(ISNUMBER(B20),ISNUMBER(B21),ISNUMBER(B26)),(B40/(1+$A156)^1+C40/(1+$A156)^2+D40/(1+$A156)^3+E40/(1+$A156)^4+F40/(1+$A156)^5+(F40*(1+D$148)/($A156-D$148))/(1+$A156)^5-B56-B57+B58)/B60,"-"),"-")</f>
        <v/>
      </c>
      <c r="E156" s="350">
        <f>IFERROR(IF(AND(ISNUMBER(B20),ISNUMBER(B21),ISNUMBER(B26)),(B40/(1+$A156)^1+C40/(1+$A156)^2+D40/(1+$A156)^3+E40/(1+$A156)^4+F40/(1+$A156)^5+(F40*(1+E$148)/($A156-E$148))/(1+$A156)^5-B56-B57+B58)/B60,"-"),"-")</f>
        <v/>
      </c>
      <c r="F156" s="350">
        <f>IFERROR(IF(AND(ISNUMBER(B20),ISNUMBER(B21),ISNUMBER(B26)),(B40/(1+$A156)^1+C40/(1+$A156)^2+D40/(1+$A156)^3+E40/(1+$A156)^4+F40/(1+$A156)^5+(F40*(1+F$148)/($A156-F$148))/(1+$A156)^5-B56-B57+B58)/B60,"-"),"-")</f>
        <v/>
      </c>
      <c r="G156" s="350">
        <f>IFERROR(IF(AND(ISNUMBER(B20),ISNUMBER(B21),ISNUMBER(B26)),(B40/(1+$A156)^1+C40/(1+$A156)^2+D40/(1+$A156)^3+E40/(1+$A156)^4+F40/(1+$A156)^5+(F40*(1+G$148)/($A156-G$148))/(1+$A156)^5-B56-B57+B58)/B60,"-"),"-")</f>
        <v/>
      </c>
      <c r="H156" s="350">
        <f>IFERROR(IF(AND(ISNUMBER(B20),ISNUMBER(B21),ISNUMBER(B26)),(B40/(1+$A156)^1+C40/(1+$A156)^2+D40/(1+$A156)^3+E40/(1+$A156)^4+F40/(1+$A156)^5+(F40*(1+H$148)/($A156-H$148))/(1+$A156)^5-B56-B57+B58)/B60,"-"),"-")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IFERROR(IF(AND(ISNUMBER(B20),ISNUMBER(B21),ISNUMBER(B26)),(B40/(1+$A157)^1+C40/(1+$A157)^2+D40/(1+$A157)^3+E40/(1+$A157)^4+F40/(1+$A157)^5+(F40*(1+B$148)/($A157-B$148))/(1+$A157)^5-B56-B57+B58)/B60,"-"),"-")</f>
        <v/>
      </c>
      <c r="C157" s="351">
        <f>IFERROR(IF(AND(ISNUMBER(B20),ISNUMBER(B21),ISNUMBER(B26)),(B40/(1+$A157)^1+C40/(1+$A157)^2+D40/(1+$A157)^3+E40/(1+$A157)^4+F40/(1+$A157)^5+(F40*(1+C$148)/($A157-C$148))/(1+$A157)^5-B56-B57+B58)/B60,"-"),"-")</f>
        <v/>
      </c>
      <c r="D157" s="351">
        <f>IFERROR(IF(AND(ISNUMBER(B20),ISNUMBER(B21),ISNUMBER(B26)),(B40/(1+$A157)^1+C40/(1+$A157)^2+D40/(1+$A157)^3+E40/(1+$A157)^4+F40/(1+$A157)^5+(F40*(1+D$148)/($A157-D$148))/(1+$A157)^5-B56-B57+B58)/B60,"-"),"-")</f>
        <v/>
      </c>
      <c r="E157" s="351">
        <f>IFERROR(IF(AND(ISNUMBER(B20),ISNUMBER(B21),ISNUMBER(B26)),(B40/(1+$A157)^1+C40/(1+$A157)^2+D40/(1+$A157)^3+E40/(1+$A157)^4+F40/(1+$A157)^5+(F40*(1+E$148)/($A157-E$148))/(1+$A157)^5-B56-B57+B58)/B60,"-"),"-")</f>
        <v/>
      </c>
      <c r="F157" s="351">
        <f>IFERROR(IF(AND(ISNUMBER(B20),ISNUMBER(B21),ISNUMBER(B26)),(B40/(1+$A157)^1+C40/(1+$A157)^2+D40/(1+$A157)^3+E40/(1+$A157)^4+F40/(1+$A157)^5+(F40*(1+F$148)/($A157-F$148))/(1+$A157)^5-B56-B57+B58)/B60,"-"),"-")</f>
        <v/>
      </c>
      <c r="G157" s="351">
        <f>IFERROR(IF(AND(ISNUMBER(B20),ISNUMBER(B21),ISNUMBER(B26)),(B40/(1+$A157)^1+C40/(1+$A157)^2+D40/(1+$A157)^3+E40/(1+$A157)^4+F40/(1+$A157)^5+(F40*(1+G$148)/($A157-G$148))/(1+$A157)^5-B56-B57+B58)/B60,"-"),"-")</f>
        <v/>
      </c>
      <c r="H157" s="351">
        <f>IFERROR(IF(AND(ISNUMBER(B20),ISNUMBER(B21),ISNUMBER(B26)),(B40/(1+$A157)^1+C40/(1+$A157)^2+D40/(1+$A157)^3+E40/(1+$A157)^4+F40/(1+$A157)^5+(F40*(1+H$148)/($A157-H$148))/(1+$A157)^5-B56-B57+B58)/B60,"-"),"-")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(down) / Exit EV-EBITDA (across) | 18.0x | 20.0x | 22.0x | 24.0x | 26.0x |
|---|---|---|---|---|---|
| 10.4% | 24.2 | 26.3 | 28.3 | 30.4 | 32.5 |
| 10.9% | 23.7 | 25.8 | 27.8 | 29.8 | 31.8 |
| **11.4%** | 23.3 | 25.3 | **27.3** | 29.3 | 31.2 |
| 11.9% | 22.9 | 24.8 | 26.8 | 28.7 | 30.6 |
| 12.4% | 22.5 | 24.4 | 26.3 | 28.2 | 30.1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  <c r="M176" s="308" t="inlineStr">
        <is>
          <t xml:space="preserve">market-researcher | valuation-agent | as-of: </t>
        </is>
      </c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  <c r="M177" s="308" t="inlineStr">
        <is>
          <t xml:space="preserve">market-researcher | valuation-agent | as-of: </t>
        </is>
      </c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NOT(ISNUMBER(Data!C22)),"-",(Data!C22*(1-IF(AND(ISNUMBER(Data!C24),Data!C24&lt;&gt;0,ISNUMBER(Data!C25)),Data!C25/Data!C24,0.21)))/(IF(AND(ISNUMBER(Data!B41),ISNUMBER(Data!B35),ISNUMBER(Data!B32)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IFERROR(IF(OR(NOT(ISNUMBER(Data!C22)),NOT(ISNUMBER(Data!C23))),"-",ABS(Data!C22)/ABS(Data!C23)),"-")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457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7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7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457">
        <f>IFERROR(IF(OR(NOT(ISNUMBER(Data!W35)),NOT(ISNUMBER(Data!W41))),"-",Data!W35/Data!W41),"-")</f>
        <v/>
      </c>
      <c r="X16" s="457">
        <f>IFERROR(IF(OR(NOT(ISNUMBER(Data!X35)),NOT(ISNUMBER(Data!X41))),"-",Data!X35/Data!X41),"-")</f>
        <v/>
      </c>
      <c r="Y16" s="457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457">
        <f>IFERROR(IF(OR(NOT(ISNUMBER(Data!W37)),NOT(ISNUMBER(Data!W38))),"-",Data!W37/Data!W38),"-")</f>
        <v/>
      </c>
      <c r="X17" s="457">
        <f>IFERROR(IF(OR(NOT(ISNUMBER(Data!X37)),NOT(ISNUMBER(Data!X38))),"-",Data!X37/Data!X38),"-")</f>
        <v/>
      </c>
      <c r="Y17" s="457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457">
        <f>IFERROR(IF(OR(NOT(ISNUMBER(Data!W35)),NOT(ISNUMBER(Data!T20)),NOT(ISNUMBER(Data!U20)),NOT(ISNUMBER(Data!V20)),NOT(ISNUMBER(Data!W20))),"-",Data!W35/(Data!T20+Data!U20+Data!V20+Data!W20)),"-")</f>
        <v/>
      </c>
      <c r="X18" s="457">
        <f>IFERROR(IF(OR(NOT(ISNUMBER(Data!X35)),NOT(ISNUMBER(Data!U20)),NOT(ISNUMBER(Data!V20)),NOT(ISNUMBER(Data!W20)),NOT(ISNUMBER(Data!X20))),"-",Data!X35/(Data!U20+Data!V20+Data!W20+Data!X20)),"-")</f>
        <v/>
      </c>
      <c r="Y18" s="457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460" t="n"/>
      <c r="X20" s="460" t="n"/>
      <c r="Y20" s="460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461" t="n"/>
      <c r="X22" s="461" t="n"/>
      <c r="Y22" s="461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461" t="n"/>
      <c r="X23" s="461" t="n"/>
      <c r="Y23" s="461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IFERROR(IF(OR(NOT(ISNUMBER(Data!D27)),NOT(ISNUMBER(Data!C27))),"-",((Data!D27/4)-(Data!C27/4))/ABS((Data!C27/4))),"-")</f>
        <v/>
      </c>
      <c r="E24" s="89">
        <f>IFERROR(IF(OR(NOT(ISNUMBER(Data!E27)),NOT(ISNUMBER(Data!D27))),"-",((Data!E27/4)-(Data!D27/4))/ABS((Data!D27/4))),"-")</f>
        <v/>
      </c>
      <c r="F24" s="89">
        <f>IFERROR(IF(OR(NOT(ISNUMBER(Data!F27)),NOT(ISNUMBER(Data!E27))),"-",((Data!F27/4)-(Data!E27/4))/ABS((Data!E27/4))),"-")</f>
        <v/>
      </c>
      <c r="G24" s="89">
        <f>IFERROR(IF(OR(NOT(ISNUMBER(Data!G27)),NOT(ISNUMBER(Data!F27))),"-",((Data!G27/4)-(Data!F27/4))/ABS((Data!F27/4))),"-")</f>
        <v/>
      </c>
      <c r="H24" s="89">
        <f>IFERROR(IF(OR(NOT(ISNUMBER(Data!H27)),NOT(ISNUMBER(Data!G27))),"-",((Data!H27/4)-(Data!G27/4))/ABS((Data!G27/4))),"-")</f>
        <v/>
      </c>
      <c r="I24" s="89">
        <f>IFERROR(IF(OR(NOT(ISNUMBER(Data!I27)),NOT(ISNUMBER(Data!H27))),"-",((Data!I27/4)-(Data!H27/4))/ABS((Data!H27/4))),"-")</f>
        <v/>
      </c>
      <c r="J24" s="89">
        <f>IFERROR(IF(OR(NOT(ISNUMBER(Data!J27)),NOT(ISNUMBER(Data!I27))),"-",((Data!J27/4)-(Data!I27/4))/ABS((Data!I27/4))),"-")</f>
        <v/>
      </c>
      <c r="K24" s="89">
        <f>IFERROR(IF(OR(NOT(ISNUMBER(Data!K27)),NOT(ISNUMBER(Data!J27))),"-",((Data!K27/4)-(Data!J27/4))/ABS((Data!J27/4))),"-")</f>
        <v/>
      </c>
      <c r="L24" s="89">
        <f>IFERROR(IF(OR(NOT(ISNUMBER(Data!L27)),NOT(ISNUMBER(Data!K27))),"-",((Data!L27/4)-(Data!K27/4))/ABS((Data!K27/4))),"-")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461" t="n"/>
      <c r="X24" s="461" t="n"/>
      <c r="Y24" s="461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461" t="n"/>
      <c r="X25" s="461" t="n"/>
      <c r="Y25" s="461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461" t="n"/>
      <c r="X26" s="461" t="n"/>
      <c r="Y26" s="461" t="n"/>
    </row>
    <row r="27">
      <c r="A27" s="2" t="inlineStr">
        <is>
          <t>Diluted Shares (split-adj, M)</t>
        </is>
      </c>
      <c r="B27" s="2" t="n"/>
      <c r="C27" s="2" t="n"/>
      <c r="D27" s="2">
        <f>IFERROR(IF(OR(NOT(ISNUMBER(Data!D28))),"-",(Data!D28*4)),"-")</f>
        <v/>
      </c>
      <c r="E27" s="2">
        <f>IFERROR(IF(OR(NOT(ISNUMBER(Data!E28))),"-",(Data!E28*4)),"-")</f>
        <v/>
      </c>
      <c r="F27" s="2">
        <f>IFERROR(IF(OR(NOT(ISNUMBER(Data!F28))),"-",(Data!F28*4)),"-")</f>
        <v/>
      </c>
      <c r="G27" s="2">
        <f>IFERROR(IF(OR(NOT(ISNUMBER(Data!G28))),"-",(Data!G28*4)),"-")</f>
        <v/>
      </c>
      <c r="H27" s="2">
        <f>IFERROR(IF(OR(NOT(ISNUMBER(Data!H28))),"-",(Data!H28*4)),"-")</f>
        <v/>
      </c>
      <c r="I27" s="2">
        <f>IFERROR(IF(OR(NOT(ISNUMBER(Data!I28))),"-",(Data!I28*4)),"-")</f>
        <v/>
      </c>
      <c r="J27" s="2">
        <f>IFERROR(IF(OR(NOT(ISNUMBER(Data!J28))),"-",(Data!J28*4)),"-")</f>
        <v/>
      </c>
      <c r="K27" s="2">
        <f>IFERROR(IF(OR(NOT(ISNUMBER(Data!K28))),"-",(Data!K28*4)),"-")</f>
        <v/>
      </c>
      <c r="L27" s="2">
        <f>IFERROR(IF(OR(NOT(ISNUMBER(Data!L28))),"-",(Data!L28*4)),"-")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461" t="n"/>
      <c r="X27" s="461" t="n"/>
      <c r="Y27" s="461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IFERROR(IF(OR(NOT(ISNUMBER(Data!C41)),NOT(ISNUMBER(Data!C28))),"-",Data!C41/Data!C28),"-")</f>
        <v/>
      </c>
      <c r="D30" s="21">
        <f>IFERROR(IF(OR(NOT(ISNUMBER(Data!D41)),NOT(ISNUMBER(Data!D28))),"-",Data!D41/(Data!D28*4)),"-")</f>
        <v/>
      </c>
      <c r="E30" s="21">
        <f>IFERROR(IF(OR(NOT(ISNUMBER(Data!E41)),NOT(ISNUMBER(Data!E28))),"-",Data!E41/(Data!E28*4)),"-")</f>
        <v/>
      </c>
      <c r="F30" s="21">
        <f>IFERROR(IF(OR(NOT(ISNUMBER(Data!F41)),NOT(ISNUMBER(Data!F28))),"-",Data!F41/(Data!F28*4)),"-")</f>
        <v/>
      </c>
      <c r="G30" s="21">
        <f>IFERROR(IF(OR(NOT(ISNUMBER(Data!G41)),NOT(ISNUMBER(Data!G28))),"-",Data!G41/(Data!G28*4)),"-")</f>
        <v/>
      </c>
      <c r="H30" s="21">
        <f>IFERROR(IF(OR(NOT(ISNUMBER(Data!H41)),NOT(ISNUMBER(Data!H28))),"-",Data!H41/(Data!H28*4)),"-")</f>
        <v/>
      </c>
      <c r="I30" s="21">
        <f>IFERROR(IF(OR(NOT(ISNUMBER(Data!I41)),NOT(ISNUMBER(Data!I28))),"-",Data!I41/(Data!I28*4)),"-")</f>
        <v/>
      </c>
      <c r="J30" s="21">
        <f>IFERROR(IF(OR(NOT(ISNUMBER(Data!J41)),NOT(ISNUMBER(Data!J28))),"-",Data!J41/(Data!J28*4)),"-")</f>
        <v/>
      </c>
      <c r="K30" s="21">
        <f>IFERROR(IF(OR(NOT(ISNUMBER(Data!K41)),NOT(ISNUMBER(Data!K28))),"-",Data!K41/(Data!K28*4)),"-")</f>
        <v/>
      </c>
      <c r="L30" s="21">
        <f>IFERROR(IF(OR(NOT(ISNUMBER(Data!L41)),NOT(ISNUMBER(Data!L28))),"-",Data!L41/(Data!L28*4)),"-")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457">
        <f>IFERROR(IF(OR(NOT(ISNUMBER(Data!W41)),NOT(ISNUMBER(Data!W28))),"-",Data!W41/Data!W28),"-")</f>
        <v/>
      </c>
      <c r="X30" s="457">
        <f>IFERROR(IF(OR(NOT(ISNUMBER(Data!X41)),NOT(ISNUMBER(Data!X28))),"-",Data!X41/Data!X28),"-")</f>
        <v/>
      </c>
      <c r="Y30" s="457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IFERROR(IF(OR(NOT(ISNUMBER(Data!C53)),NOT(ISNUMBER(Data!C28))),"-",Data!C53/Data!C28),"-")</f>
        <v/>
      </c>
      <c r="D31" s="22">
        <f>IFERROR(IF(OR(NOT(ISNUMBER(Data!D53)),NOT(ISNUMBER(Data!D28))),"-",Data!D53/(Data!D28*4)),"-")</f>
        <v/>
      </c>
      <c r="E31" s="22">
        <f>IFERROR(IF(OR(NOT(ISNUMBER(Data!E53)),NOT(ISNUMBER(Data!E28))),"-",Data!E53/(Data!E28*4)),"-")</f>
        <v/>
      </c>
      <c r="F31" s="22">
        <f>IFERROR(IF(OR(NOT(ISNUMBER(Data!F53)),NOT(ISNUMBER(Data!F28))),"-",Data!F53/(Data!F28*4)),"-")</f>
        <v/>
      </c>
      <c r="G31" s="22">
        <f>IFERROR(IF(OR(NOT(ISNUMBER(Data!G53)),NOT(ISNUMBER(Data!G28))),"-",Data!G53/(Data!G28*4)),"-")</f>
        <v/>
      </c>
      <c r="H31" s="22">
        <f>IFERROR(IF(OR(NOT(ISNUMBER(Data!H53)),NOT(ISNUMBER(Data!H28))),"-",Data!H53/(Data!H28*4)),"-")</f>
        <v/>
      </c>
      <c r="I31" s="22">
        <f>IFERROR(IF(OR(NOT(ISNUMBER(Data!I53)),NOT(ISNUMBER(Data!I28))),"-",Data!I53/(Data!I28*4)),"-")</f>
        <v/>
      </c>
      <c r="J31" s="22">
        <f>IFERROR(IF(OR(NOT(ISNUMBER(Data!J53)),NOT(ISNUMBER(Data!J28))),"-",Data!J53/(Data!J28*4)),"-")</f>
        <v/>
      </c>
      <c r="K31" s="22">
        <f>IFERROR(IF(OR(NOT(ISNUMBER(Data!K53)),NOT(ISNUMBER(Data!K28))),"-",Data!K53/(Data!K28*4)),"-")</f>
        <v/>
      </c>
      <c r="L31" s="22">
        <f>IFERROR(IF(OR(NOT(ISNUMBER(Data!L53)),NOT(ISNUMBER(Data!L28))),"-",Data!L53/(Data!L28*4)),"-")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457">
        <f>IFERROR(IF(OR(NOT(ISNUMBER(Data!T53)),NOT(ISNUMBER(Data!U53)),NOT(ISNUMBER(Data!V53)),NOT(ISNUMBER(Data!W53)),NOT(ISNUMBER(Data!W28))),"-",(Data!T53+Data!U53+Data!V53+Data!W53)/Data!W28),"-")</f>
        <v/>
      </c>
      <c r="X31" s="457">
        <f>IFERROR(IF(OR(NOT(ISNUMBER(Data!U53)),NOT(ISNUMBER(Data!V53)),NOT(ISNUMBER(Data!W53)),NOT(ISNUMBER(Data!X53)),NOT(ISNUMBER(Data!X28))),"-",(Data!U53+Data!V53+Data!W53+Data!X53)/Data!X28),"-")</f>
        <v/>
      </c>
      <c r="Y31" s="457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IFERROR(IF(OR(NOT(ISNUMBER(Data!C14)),NOT(ISNUMBER(Data!C28))),"-",Data!C14/Data!C28),"-")</f>
        <v/>
      </c>
      <c r="D32" s="21">
        <f>IFERROR(IF(OR(NOT(ISNUMBER(Data!D14)),NOT(ISNUMBER(Data!D28))),"-",Data!D14/(Data!D28*4)),"-")</f>
        <v/>
      </c>
      <c r="E32" s="21">
        <f>IFERROR(IF(OR(NOT(ISNUMBER(Data!E14)),NOT(ISNUMBER(Data!E28))),"-",Data!E14/(Data!E28*4)),"-")</f>
        <v/>
      </c>
      <c r="F32" s="21">
        <f>IFERROR(IF(OR(NOT(ISNUMBER(Data!F14)),NOT(ISNUMBER(Data!F28))),"-",Data!F14/(Data!F28*4)),"-")</f>
        <v/>
      </c>
      <c r="G32" s="21">
        <f>IFERROR(IF(OR(NOT(ISNUMBER(Data!G14)),NOT(ISNUMBER(Data!G28))),"-",Data!G14/(Data!G28*4)),"-")</f>
        <v/>
      </c>
      <c r="H32" s="21">
        <f>IFERROR(IF(OR(NOT(ISNUMBER(Data!H14)),NOT(ISNUMBER(Data!H28))),"-",Data!H14/(Data!H28*4)),"-")</f>
        <v/>
      </c>
      <c r="I32" s="21">
        <f>IFERROR(IF(OR(NOT(ISNUMBER(Data!I14)),NOT(ISNUMBER(Data!I28))),"-",Data!I14/(Data!I28*4)),"-")</f>
        <v/>
      </c>
      <c r="J32" s="21">
        <f>IFERROR(IF(OR(NOT(ISNUMBER(Data!J14)),NOT(ISNUMBER(Data!J28))),"-",Data!J14/(Data!J28*4)),"-")</f>
        <v/>
      </c>
      <c r="K32" s="21">
        <f>IFERROR(IF(OR(NOT(ISNUMBER(Data!K14)),NOT(ISNUMBER(Data!K28))),"-",Data!K14/(Data!K28*4)),"-")</f>
        <v/>
      </c>
      <c r="L32" s="21">
        <f>IFERROR(IF(OR(NOT(ISNUMBER(Data!L14)),NOT(ISNUMBER(Data!L28))),"-",Data!L14/(Data!L28*4)),"-")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457">
        <f>IFERROR(IF(OR(NOT(ISNUMBER(Data!T14)),NOT(ISNUMBER(Data!U14)),NOT(ISNUMBER(Data!V14)),NOT(ISNUMBER(Data!W14)),NOT(ISNUMBER(Data!W28))),"-",(Data!T14+Data!U14+Data!V14+Data!W14)/Data!W28),"-")</f>
        <v/>
      </c>
      <c r="X32" s="457">
        <f>IFERROR(IF(OR(NOT(ISNUMBER(Data!U14)),NOT(ISNUMBER(Data!V14)),NOT(ISNUMBER(Data!W14)),NOT(ISNUMBER(Data!X14)),NOT(ISNUMBER(Data!X28))),"-",(Data!U14+Data!V14+Data!W14+Data!X14)/Data!X28),"-")</f>
        <v/>
      </c>
      <c r="Y32" s="457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 t="n"/>
      <c r="D33" s="2">
        <f>IFERROR(IF(OR(NOT(ISNUMBER(Data!D27))),"-",(Data!D27/4)),"-")</f>
        <v/>
      </c>
      <c r="E33" s="2">
        <f>IFERROR(IF(OR(NOT(ISNUMBER(Data!E27))),"-",(Data!E27/4)),"-")</f>
        <v/>
      </c>
      <c r="F33" s="2">
        <f>IFERROR(IF(OR(NOT(ISNUMBER(Data!F27))),"-",(Data!F27/4)),"-")</f>
        <v/>
      </c>
      <c r="G33" s="2">
        <f>IFERROR(IF(OR(NOT(ISNUMBER(Data!G27))),"-",(Data!G27/4)),"-")</f>
        <v/>
      </c>
      <c r="H33" s="2">
        <f>IFERROR(IF(OR(NOT(ISNUMBER(Data!H27))),"-",(Data!H27/4)),"-")</f>
        <v/>
      </c>
      <c r="I33" s="2">
        <f>IFERROR(IF(OR(NOT(ISNUMBER(Data!I27))),"-",(Data!I27/4)),"-")</f>
        <v/>
      </c>
      <c r="J33" s="2">
        <f>IFERROR(IF(OR(NOT(ISNUMBER(Data!J27))),"-",(Data!J27/4)),"-")</f>
        <v/>
      </c>
      <c r="K33" s="2">
        <f>IFERROR(IF(OR(NOT(ISNUMBER(Data!K27))),"-",(Data!K27/4)),"-")</f>
        <v/>
      </c>
      <c r="L33" s="2">
        <f>IFERROR(IF(OR(NOT(ISNUMBER(Data!L27))),"-",(Data!L27/4)),"-")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459" t="n"/>
      <c r="X33" s="459" t="n"/>
      <c r="Y33" s="459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461" t="n"/>
      <c r="X36" s="461" t="n"/>
      <c r="Y36" s="461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461" t="n"/>
      <c r="X37" s="461" t="n"/>
      <c r="Y37" s="461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461" t="n"/>
      <c r="X38" s="461" t="n"/>
      <c r="Y38" s="461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461" t="n"/>
      <c r="X39" s="461" t="n"/>
      <c r="Y39" s="461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461" t="n"/>
      <c r="X40" s="461" t="n"/>
      <c r="Y40" s="461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461" t="n"/>
      <c r="X41" s="461" t="n"/>
      <c r="Y41" s="461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461" t="n"/>
      <c r="X42" s="461" t="n"/>
      <c r="Y42" s="461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461" t="n"/>
      <c r="X43" s="461" t="n"/>
      <c r="Y43" s="461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461" t="n"/>
      <c r="X44" s="461" t="n"/>
      <c r="Y44" s="461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IFERROR(IF(OR(NOT(ISNUMBER(Data!B37)),NOT(ISNUMBER(Data!B38))),"-",Data!B37-Data!B38),"-")</f>
        <v/>
      </c>
      <c r="C48" s="23">
        <f>IFERROR(IF(OR(NOT(ISNUMBER(Data!C37)),NOT(ISNUMBER(Data!C38))),"-",Data!C37-Data!C38),"-")</f>
        <v/>
      </c>
      <c r="D48" s="23">
        <f>IFERROR(IF(OR(NOT(ISNUMBER(Data!D37)),NOT(ISNUMBER(Data!D38))),"-",Data!D37-Data!D38),"-")</f>
        <v/>
      </c>
      <c r="E48" s="23">
        <f>IFERROR(IF(OR(NOT(ISNUMBER(Data!E37)),NOT(ISNUMBER(Data!E38))),"-",Data!E37-Data!E38),"-")</f>
        <v/>
      </c>
      <c r="F48" s="23">
        <f>IFERROR(IF(OR(NOT(ISNUMBER(Data!F37)),NOT(ISNUMBER(Data!F38))),"-",Data!F37-Data!F38),"-")</f>
        <v/>
      </c>
      <c r="G48" s="23">
        <f>IFERROR(IF(OR(NOT(ISNUMBER(Data!G37)),NOT(ISNUMBER(Data!G38))),"-",Data!G37-Data!G38),"-")</f>
        <v/>
      </c>
      <c r="H48" s="23">
        <f>IFERROR(IF(OR(NOT(ISNUMBER(Data!H37)),NOT(ISNUMBER(Data!H38))),"-",Data!H37-Data!H38),"-")</f>
        <v/>
      </c>
      <c r="I48" s="23">
        <f>IFERROR(IF(OR(NOT(ISNUMBER(Data!I37)),NOT(ISNUMBER(Data!I38))),"-",Data!I37-Data!I38),"-")</f>
        <v/>
      </c>
      <c r="J48" s="23">
        <f>IFERROR(IF(OR(NOT(ISNUMBER(Data!J37)),NOT(ISNUMBER(Data!J38))),"-",Data!J37-Data!J38),"-")</f>
        <v/>
      </c>
      <c r="K48" s="23">
        <f>IFERROR(IF(OR(NOT(ISNUMBER(Data!K37)),NOT(ISNUMBER(Data!K38))),"-",Data!K37-Data!K38),"-")</f>
        <v/>
      </c>
      <c r="L48" s="23">
        <f>IFERROR(IF(OR(NOT(ISNUMBER(Data!L37)),NOT(ISNUMBER(Data!L38))),"-",Data!L37-Data!L38),"-")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457">
        <f>IFERROR(IF(OR(NOT(ISNUMBER(Data!W37)),NOT(ISNUMBER(Data!W38))),"-",Data!W37-Data!W38),"-")</f>
        <v/>
      </c>
      <c r="X48" s="457">
        <f>IFERROR(IF(OR(NOT(ISNUMBER(Data!X37)),NOT(ISNUMBER(Data!X38))),"-",Data!X37-Data!X38),"-")</f>
        <v/>
      </c>
      <c r="Y48" s="457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457">
        <f>IFERROR(IF(OR(NOT(ISNUMBER(Data!W37)),NOT(ISNUMBER(Data!W47)),NOT(ISNUMBER(Data!W38))),"-",(Data!W37-Data!W47)/Data!W38),"-")</f>
        <v/>
      </c>
      <c r="X49" s="457">
        <f>IFERROR(IF(OR(NOT(ISNUMBER(Data!X37)),NOT(ISNUMBER(Data!X47)),NOT(ISNUMBER(Data!X38))),"-",(Data!X37-Data!X47)/Data!X38),"-")</f>
        <v/>
      </c>
      <c r="Y49" s="457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IFERROR(IF(OR(NOT(ISNUMBER(Data!B37)),NOT(ISNUMBER(Data!B38))),"-",(Data!B37-Data!B47)-Data!B38),"-")</f>
        <v/>
      </c>
      <c r="C50" s="23">
        <f>IFERROR(IF(OR(NOT(ISNUMBER(Data!C37)),NOT(ISNUMBER(Data!C38))),"-",(Data!C37-Data!C47)-Data!C38),"-")</f>
        <v/>
      </c>
      <c r="D50" s="23">
        <f>IFERROR(IF(OR(NOT(ISNUMBER(Data!D37)),NOT(ISNUMBER(Data!D38))),"-",(Data!D37-Data!D47)-Data!D38),"-")</f>
        <v/>
      </c>
      <c r="E50" s="23">
        <f>IFERROR(IF(OR(NOT(ISNUMBER(Data!E37)),NOT(ISNUMBER(Data!E38))),"-",(Data!E37-Data!E47)-Data!E38),"-")</f>
        <v/>
      </c>
      <c r="F50" s="23">
        <f>IFERROR(IF(OR(NOT(ISNUMBER(Data!F37)),NOT(ISNUMBER(Data!F38))),"-",(Data!F37-Data!F47)-Data!F38),"-")</f>
        <v/>
      </c>
      <c r="G50" s="23">
        <f>IFERROR(IF(OR(NOT(ISNUMBER(Data!G37)),NOT(ISNUMBER(Data!G38))),"-",(Data!G37-Data!G47)-Data!G38),"-")</f>
        <v/>
      </c>
      <c r="H50" s="23">
        <f>IFERROR(IF(OR(NOT(ISNUMBER(Data!H37)),NOT(ISNUMBER(Data!H38))),"-",(Data!H37-Data!H47)-Data!H38),"-")</f>
        <v/>
      </c>
      <c r="I50" s="23">
        <f>IFERROR(IF(OR(NOT(ISNUMBER(Data!I37)),NOT(ISNUMBER(Data!I38))),"-",(Data!I37-Data!I47)-Data!I38),"-")</f>
        <v/>
      </c>
      <c r="J50" s="23">
        <f>IFERROR(IF(OR(NOT(ISNUMBER(Data!J37)),NOT(ISNUMBER(Data!J38))),"-",(Data!J37-Data!J47)-Data!J38),"-")</f>
        <v/>
      </c>
      <c r="K50" s="23">
        <f>IFERROR(IF(OR(NOT(ISNUMBER(Data!K37)),NOT(ISNUMBER(Data!K38))),"-",(Data!K37-Data!K47)-Data!K38),"-")</f>
        <v/>
      </c>
      <c r="L50" s="23">
        <f>IFERROR(IF(OR(NOT(ISNUMBER(Data!L37)),NOT(ISNUMBER(Data!L38))),"-",(Data!L37-Data!L47)-Data!L38),"-")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457" t="n"/>
      <c r="X50" s="457" t="n"/>
      <c r="Y50" s="457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457">
        <f>IFERROR(IF(OR(NOT(ISNUMBER(Data!W32)),NOT(ISNUMBER(Data!W38))),"-",Data!W32/Data!W38),"-")</f>
        <v/>
      </c>
      <c r="X51" s="457">
        <f>IFERROR(IF(OR(NOT(ISNUMBER(Data!X32)),NOT(ISNUMBER(Data!X38))),"-",Data!X32/Data!X38),"-")</f>
        <v/>
      </c>
      <c r="Y51" s="457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IFERROR(IF(OR(NOT(ISNUMBER(Data!B32)),NOT(ISNUMBER(Data!B38))),"-",Data!B32-Data!B38),"-")</f>
        <v/>
      </c>
      <c r="C52" s="23">
        <f>IFERROR(IF(OR(NOT(ISNUMBER(Data!C32)),NOT(ISNUMBER(Data!C38))),"-",Data!C32-Data!C38),"-")</f>
        <v/>
      </c>
      <c r="D52" s="23">
        <f>IFERROR(IF(OR(NOT(ISNUMBER(Data!D32)),NOT(ISNUMBER(Data!D38))),"-",Data!D32-Data!D38),"-")</f>
        <v/>
      </c>
      <c r="E52" s="23">
        <f>IFERROR(IF(OR(NOT(ISNUMBER(Data!E32)),NOT(ISNUMBER(Data!E38))),"-",Data!E32-Data!E38),"-")</f>
        <v/>
      </c>
      <c r="F52" s="23">
        <f>IFERROR(IF(OR(NOT(ISNUMBER(Data!F32)),NOT(ISNUMBER(Data!F38))),"-",Data!F32-Data!F38),"-")</f>
        <v/>
      </c>
      <c r="G52" s="23">
        <f>IFERROR(IF(OR(NOT(ISNUMBER(Data!G32)),NOT(ISNUMBER(Data!G38))),"-",Data!G32-Data!G38),"-")</f>
        <v/>
      </c>
      <c r="H52" s="23">
        <f>IFERROR(IF(OR(NOT(ISNUMBER(Data!H32)),NOT(ISNUMBER(Data!H38))),"-",Data!H32-Data!H38),"-")</f>
        <v/>
      </c>
      <c r="I52" s="23">
        <f>IFERROR(IF(OR(NOT(ISNUMBER(Data!I32)),NOT(ISNUMBER(Data!I38))),"-",Data!I32-Data!I38),"-")</f>
        <v/>
      </c>
      <c r="J52" s="23">
        <f>IFERROR(IF(OR(NOT(ISNUMBER(Data!J32)),NOT(ISNUMBER(Data!J38))),"-",Data!J32-Data!J38),"-")</f>
        <v/>
      </c>
      <c r="K52" s="23">
        <f>IFERROR(IF(OR(NOT(ISNUMBER(Data!K32)),NOT(ISNUMBER(Data!K38))),"-",Data!K32-Data!K38),"-")</f>
        <v/>
      </c>
      <c r="L52" s="23">
        <f>IFERROR(IF(OR(NOT(ISNUMBER(Data!L32)),NOT(ISNUMBER(Data!L38))),"-",Data!L32-Data!L38),"-")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457" t="n"/>
      <c r="X52" s="457" t="n"/>
      <c r="Y52" s="457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457" t="n"/>
      <c r="X53" s="457" t="n"/>
      <c r="Y53" s="457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457" t="n"/>
      <c r="X54" s="457" t="n"/>
      <c r="Y54" s="457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461" t="n"/>
      <c r="X58" s="461" t="n"/>
      <c r="Y58" s="461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461" t="n"/>
      <c r="X59" s="461" t="n"/>
      <c r="Y59" s="461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461" t="n"/>
      <c r="X60" s="461" t="n"/>
      <c r="Y60" s="461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461" t="n"/>
      <c r="X61" s="461" t="n"/>
      <c r="Y61" s="461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461" t="n"/>
      <c r="X62" s="461" t="n"/>
      <c r="Y62" s="461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461" t="n"/>
      <c r="X63" s="461" t="n"/>
      <c r="Y63" s="461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IFERROR(IF(OR(NOT(ISNUMBER(Metrics!C59)),NOT(ISNUMBER(Metrics!C61)),NOT(ISNUMBER(Metrics!C63))),"-",Metrics!C59+Metrics!C61-Metrics!C63),"-")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461" t="n"/>
      <c r="X64" s="461" t="n"/>
      <c r="Y64" s="461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457" t="n"/>
      <c r="X68" s="457" t="n"/>
      <c r="Y68" s="457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457" t="n"/>
      <c r="X69" s="457" t="n"/>
      <c r="Y69" s="457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IFERROR((Data!C44+Data!C32)/Data!C28,"-")</f>
        <v/>
      </c>
      <c r="D70" s="28">
        <f>IFERROR(IF(OR(NOT(ISNUMBER(Data!D44)),NOT(ISNUMBER(Data!D32)),NOT(ISNUMBER(Data!D28))),"-",(Data!D44+Data!D32)/(Data!D28*4)),"-")</f>
        <v/>
      </c>
      <c r="E70" s="28">
        <f>IFERROR(IF(OR(NOT(ISNUMBER(Data!E44)),NOT(ISNUMBER(Data!E32)),NOT(ISNUMBER(Data!E28))),"-",(Data!E44+Data!E32)/(Data!E28*4)),"-")</f>
        <v/>
      </c>
      <c r="F70" s="28">
        <f>IFERROR(IF(OR(NOT(ISNUMBER(Data!F44)),NOT(ISNUMBER(Data!F32)),NOT(ISNUMBER(Data!F28))),"-",(Data!F44+Data!F32)/(Data!F28*4)),"-")</f>
        <v/>
      </c>
      <c r="G70" s="28">
        <f>IFERROR(IF(OR(NOT(ISNUMBER(Data!G44)),NOT(ISNUMBER(Data!G32)),NOT(ISNUMBER(Data!G28))),"-",(Data!G44+Data!G32)/(Data!G28*4)),"-")</f>
        <v/>
      </c>
      <c r="H70" s="28">
        <f>IFERROR(IF(OR(NOT(ISNUMBER(Data!H44)),NOT(ISNUMBER(Data!H32)),NOT(ISNUMBER(Data!H28))),"-",(Data!H44+Data!H32)/(Data!H28*4)),"-")</f>
        <v/>
      </c>
      <c r="I70" s="28">
        <f>IFERROR(IF(OR(NOT(ISNUMBER(Data!I44)),NOT(ISNUMBER(Data!I32)),NOT(ISNUMBER(Data!I28))),"-",(Data!I44+Data!I32)/(Data!I28*4)),"-")</f>
        <v/>
      </c>
      <c r="J70" s="28">
        <f>IFERROR(IF(OR(NOT(ISNUMBER(Data!J44)),NOT(ISNUMBER(Data!J32)),NOT(ISNUMBER(Data!J28))),"-",(Data!J44+Data!J32)/(Data!J28*4)),"-")</f>
        <v/>
      </c>
      <c r="K70" s="28">
        <f>IFERROR(IF(OR(NOT(ISNUMBER(Data!K44)),NOT(ISNUMBER(Data!K32)),NOT(ISNUMBER(Data!K28))),"-",(Data!K44+Data!K32)/(Data!K28*4)),"-")</f>
        <v/>
      </c>
      <c r="L70" s="28">
        <f>IFERROR(IF(OR(NOT(ISNUMBER(Data!L44)),NOT(ISNUMBER(Data!L32)),NOT(ISNUMBER(Data!L28))),"-",(Data!L44+Data!L32)/(Data!L28*4)),"-")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457" t="n"/>
      <c r="X70" s="457" t="n"/>
      <c r="Y70" s="457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IFERROR((Data!C41-Data!C43)/Data!C28,"-")</f>
        <v/>
      </c>
      <c r="D71" s="29">
        <f>IFERROR(IF(OR(NOT(ISNUMBER(Data!D41)),NOT(ISNUMBER(Data!D43)),NOT(ISNUMBER(Data!D28))),"-",(Data!D41-Data!D43)/(Data!D28*4)),"-")</f>
        <v/>
      </c>
      <c r="E71" s="29">
        <f>IFERROR(IF(OR(NOT(ISNUMBER(Data!E41)),NOT(ISNUMBER(Data!E43)),NOT(ISNUMBER(Data!E28))),"-",(Data!E41-Data!E43)/(Data!E28*4)),"-")</f>
        <v/>
      </c>
      <c r="F71" s="29">
        <f>IFERROR(IF(OR(NOT(ISNUMBER(Data!F41)),NOT(ISNUMBER(Data!F43)),NOT(ISNUMBER(Data!F28))),"-",(Data!F41-Data!F43)/(Data!F28*4)),"-")</f>
        <v/>
      </c>
      <c r="G71" s="29">
        <f>IFERROR(IF(OR(NOT(ISNUMBER(Data!G41)),NOT(ISNUMBER(Data!G43)),NOT(ISNUMBER(Data!G28))),"-",(Data!G41-Data!G43)/(Data!G28*4)),"-")</f>
        <v/>
      </c>
      <c r="H71" s="29">
        <f>IFERROR(IF(OR(NOT(ISNUMBER(Data!H41)),NOT(ISNUMBER(Data!H43)),NOT(ISNUMBER(Data!H28))),"-",(Data!H41-Data!H43)/(Data!H28*4)),"-")</f>
        <v/>
      </c>
      <c r="I71" s="29">
        <f>IFERROR(IF(OR(NOT(ISNUMBER(Data!I41)),NOT(ISNUMBER(Data!I43)),NOT(ISNUMBER(Data!I28))),"-",(Data!I41-Data!I43)/(Data!I28*4)),"-")</f>
        <v/>
      </c>
      <c r="J71" s="29">
        <f>IFERROR(IF(OR(NOT(ISNUMBER(Data!J41)),NOT(ISNUMBER(Data!J43)),NOT(ISNUMBER(Data!J28))),"-",(Data!J41-Data!J43)/(Data!J28*4)),"-")</f>
        <v/>
      </c>
      <c r="K71" s="29">
        <f>IFERROR(IF(OR(NOT(ISNUMBER(Data!K41)),NOT(ISNUMBER(Data!K43)),NOT(ISNUMBER(Data!K28))),"-",(Data!K41-Data!K43)/(Data!K28*4)),"-")</f>
        <v/>
      </c>
      <c r="L71" s="29">
        <f>IFERROR(IF(OR(NOT(ISNUMBER(Data!L41)),NOT(ISNUMBER(Data!L43)),NOT(ISNUMBER(Data!L28))),"-",(Data!L41-Data!L43)/(Data!L28*4)),"-")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457" t="n"/>
      <c r="X71" s="457" t="n"/>
      <c r="Y71" s="457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457">
        <f>IFERROR(IF(OR(NOT(ISNUMBER(Data!T14)),NOT(ISNUMBER(Data!U14)),NOT(ISNUMBER(Data!V14)),NOT(ISNUMBER(Data!W14)),NOT(ISNUMBER(Data!W39))),"-",(Data!T14+Data!U14+Data!V14+Data!W14)/Data!W39),"-")</f>
        <v/>
      </c>
      <c r="X72" s="457">
        <f>IFERROR(IF(OR(NOT(ISNUMBER(Data!U14)),NOT(ISNUMBER(Data!V14)),NOT(ISNUMBER(Data!W14)),NOT(ISNUMBER(Data!X14)),NOT(ISNUMBER(Data!X39))),"-",(Data!U14+Data!V14+Data!W14+Data!X14)/Data!X39),"-")</f>
        <v/>
      </c>
      <c r="Y72" s="457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457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7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7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457" t="n"/>
      <c r="X74" s="457" t="n"/>
      <c r="Y74" s="457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457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7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7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457" t="n"/>
      <c r="X77" s="457" t="n"/>
      <c r="Y77" s="457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457" t="n"/>
      <c r="X78" s="457" t="n"/>
      <c r="Y78" s="457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457" t="n"/>
      <c r="X79" s="457" t="n"/>
      <c r="Y79" s="457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457">
        <f>IFERROR(IF(OR(NOT(ISNUMBER(Data!W36)),NOT(ISNUMBER(Data!T20)),NOT(ISNUMBER(Data!U20)),NOT(ISNUMBER(Data!V20)),NOT(ISNUMBER(Data!W20))),"-",Data!W36/(Data!T20+Data!U20+Data!V20+Data!W20)),"-")</f>
        <v/>
      </c>
      <c r="X80" s="457">
        <f>IFERROR(IF(OR(NOT(ISNUMBER(Data!X36)),NOT(ISNUMBER(Data!U20)),NOT(ISNUMBER(Data!V20)),NOT(ISNUMBER(Data!W20)),NOT(ISNUMBER(Data!X20))),"-",Data!X36/(Data!U20+Data!V20+Data!W20+Data!X20)),"-")</f>
        <v/>
      </c>
      <c r="Y80" s="457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457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7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7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IFERROR(IF(OR(NOT(ISNUMBER(Data!D55)),NOT(ISNUMBER(Data!D28)),Data!D55=0),"-",ABS(Data!D55)/(Data!D28*4)),"-")</f>
        <v/>
      </c>
      <c r="E86" s="22">
        <f>IFERROR(IF(OR(NOT(ISNUMBER(Data!E55)),NOT(ISNUMBER(Data!E28)),Data!E55=0),"-",ABS(Data!E55)/(Data!E28*4)),"-")</f>
        <v/>
      </c>
      <c r="F86" s="22">
        <f>IFERROR(IF(OR(NOT(ISNUMBER(Data!F55)),NOT(ISNUMBER(Data!F28)),Data!F55=0),"-",ABS(Data!F55)/(Data!F28*4)),"-")</f>
        <v/>
      </c>
      <c r="G86" s="22">
        <f>IFERROR(IF(OR(NOT(ISNUMBER(Data!G55)),NOT(ISNUMBER(Data!G28)),Data!G55=0),"-",ABS(Data!G55)/(Data!G28*4)),"-")</f>
        <v/>
      </c>
      <c r="H86" s="22">
        <f>IFERROR(IF(OR(NOT(ISNUMBER(Data!H55)),NOT(ISNUMBER(Data!H28)),Data!H55=0),"-",ABS(Data!H55)/(Data!H28*4)),"-")</f>
        <v/>
      </c>
      <c r="I86" s="22">
        <f>IFERROR(IF(OR(NOT(ISNUMBER(Data!I55)),NOT(ISNUMBER(Data!I28)),Data!I55=0),"-",ABS(Data!I55)/(Data!I28*4)),"-")</f>
        <v/>
      </c>
      <c r="J86" s="22">
        <f>IFERROR(IF(OR(NOT(ISNUMBER(Data!J55)),NOT(ISNUMBER(Data!J28)),Data!J55=0),"-",ABS(Data!J55)/(Data!J28*4)),"-")</f>
        <v/>
      </c>
      <c r="K86" s="22">
        <f>IFERROR(IF(OR(NOT(ISNUMBER(Data!K55)),NOT(ISNUMBER(Data!K28)),Data!K55=0),"-",ABS(Data!K55)/(Data!K28*4)),"-")</f>
        <v/>
      </c>
      <c r="L86" s="22">
        <f>IFERROR(IF(OR(NOT(ISNUMBER(Data!L55)),NOT(ISNUMBER(Data!L28)),Data!L55=0),"-",ABS(Data!L55)/(Data!L28*4)),"-")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461" t="n"/>
      <c r="X86" s="461" t="n"/>
      <c r="Y86" s="461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IFERROR(IF(OR(NOT(ISNUMBER(Data!C55)),NOT(ISNUMBER(Data!C28)),NOT(ISNUMBER(Data!$B$8)),Data!C55=0),"-",ABS(Data!C55)/(Data!$B$8*Data!C28)),"-")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461" t="n"/>
      <c r="X87" s="461" t="n"/>
      <c r="Y87" s="461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461" t="n"/>
      <c r="X88" s="461" t="n"/>
      <c r="Y88" s="461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IFERROR(IF(OR(NOT(ISNUMBER(Data!C56)),NOT(ISNUMBER(Data!C28)),NOT(ISNUMBER(Data!$B$8)),Data!C56=0),"-",ABS(Data!C56)/(Data!$B$8*Data!C28)),"-")</f>
        <v/>
      </c>
      <c r="D89" s="89">
        <f>IFERROR(IF(OR(NOT(ISNUMBER(Data!D56)),Data!D56=0,OR(NOT(AND(ISNUMBER(Data!$B$8),Data!$B$8&lt;&gt;0)),AND(NOT(AND(ISNUMBER(Market!$B$11),Market!$B$11&lt;&gt;0)),NOT(AND(ISNUMBER(Data!D28),Data!D28&lt;&gt;0))))),"-",ABS(Data!D56)/(Data!$B$8*IF(AND(ISNUMBER(Market!$B$11),Market!$B$11&lt;&gt;0),Market!$B$11,Data!D28))),"-")</f>
        <v/>
      </c>
      <c r="E89" s="89">
        <f>IFERROR(IF(OR(NOT(ISNUMBER(Data!E56)),Data!E56=0,OR(NOT(AND(ISNUMBER(Data!$B$8),Data!$B$8&lt;&gt;0)),AND(NOT(AND(ISNUMBER(Market!$B$11),Market!$B$11&lt;&gt;0)),NOT(AND(ISNUMBER(Data!E28),Data!E28&lt;&gt;0))))),"-",ABS(Data!E56)/(Data!$B$8*IF(AND(ISNUMBER(Market!$B$11),Market!$B$11&lt;&gt;0),Market!$B$11,Data!E28))),"-")</f>
        <v/>
      </c>
      <c r="F89" s="89">
        <f>IFERROR(IF(OR(NOT(ISNUMBER(Data!F56)),Data!F56=0,OR(NOT(AND(ISNUMBER(Data!$B$8),Data!$B$8&lt;&gt;0)),AND(NOT(AND(ISNUMBER(Market!$B$11),Market!$B$11&lt;&gt;0)),NOT(AND(ISNUMBER(Data!F28),Data!F28&lt;&gt;0))))),"-",ABS(Data!F56)/(Data!$B$8*IF(AND(ISNUMBER(Market!$B$11),Market!$B$11&lt;&gt;0),Market!$B$11,Data!F28))),"-")</f>
        <v/>
      </c>
      <c r="G89" s="89">
        <f>IFERROR(IF(OR(NOT(ISNUMBER(Data!G56)),Data!G56=0,OR(NOT(AND(ISNUMBER(Data!$B$8),Data!$B$8&lt;&gt;0)),AND(NOT(AND(ISNUMBER(Market!$B$11),Market!$B$11&lt;&gt;0)),NOT(AND(ISNUMBER(Data!G28),Data!G28&lt;&gt;0))))),"-",ABS(Data!G56)/(Data!$B$8*IF(AND(ISNUMBER(Market!$B$11),Market!$B$11&lt;&gt;0),Market!$B$11,Data!G28))),"-")</f>
        <v/>
      </c>
      <c r="H89" s="89">
        <f>IFERROR(IF(OR(NOT(ISNUMBER(Data!H56)),Data!H56=0,OR(NOT(AND(ISNUMBER(Data!$B$8),Data!$B$8&lt;&gt;0)),AND(NOT(AND(ISNUMBER(Market!$B$11),Market!$B$11&lt;&gt;0)),NOT(AND(ISNUMBER(Data!H28),Data!H28&lt;&gt;0))))),"-",ABS(Data!H56)/(Data!$B$8*IF(AND(ISNUMBER(Market!$B$11),Market!$B$11&lt;&gt;0),Market!$B$11,Data!H28))),"-")</f>
        <v/>
      </c>
      <c r="I89" s="89">
        <f>IFERROR(IF(OR(NOT(ISNUMBER(Data!I56)),Data!I56=0,OR(NOT(AND(ISNUMBER(Data!$B$8),Data!$B$8&lt;&gt;0)),AND(NOT(AND(ISNUMBER(Market!$B$11),Market!$B$11&lt;&gt;0)),NOT(AND(ISNUMBER(Data!I28),Data!I28&lt;&gt;0))))),"-",ABS(Data!I56)/(Data!$B$8*IF(AND(ISNUMBER(Market!$B$11),Market!$B$11&lt;&gt;0),Market!$B$11,Data!I28))),"-")</f>
        <v/>
      </c>
      <c r="J89" s="89">
        <f>IFERROR(IF(OR(NOT(ISNUMBER(Data!J56)),Data!J56=0,OR(NOT(AND(ISNUMBER(Data!$B$8),Data!$B$8&lt;&gt;0)),AND(NOT(AND(ISNUMBER(Market!$B$11),Market!$B$11&lt;&gt;0)),NOT(AND(ISNUMBER(Data!J28),Data!J28&lt;&gt;0))))),"-",ABS(Data!J56)/(Data!$B$8*IF(AND(ISNUMBER(Market!$B$11),Market!$B$11&lt;&gt;0),Market!$B$11,Data!J28))),"-")</f>
        <v/>
      </c>
      <c r="K89" s="89">
        <f>IFERROR(IF(OR(NOT(ISNUMBER(Data!K56)),Data!K56=0,OR(NOT(AND(ISNUMBER(Data!$B$8),Data!$B$8&lt;&gt;0)),AND(NOT(AND(ISNUMBER(Market!$B$11),Market!$B$11&lt;&gt;0)),NOT(AND(ISNUMBER(Data!K28),Data!K28&lt;&gt;0))))),"-",ABS(Data!K56)/(Data!$B$8*IF(AND(ISNUMBER(Market!$B$11),Market!$B$11&lt;&gt;0),Market!$B$11,Data!K28))),"-")</f>
        <v/>
      </c>
      <c r="L89" s="89">
        <f>IFERROR(IF(OR(NOT(ISNUMBER(Data!L56)),Data!L56=0,OR(NOT(AND(ISNUMBER(Data!$B$8),Data!$B$8&lt;&gt;0)),AND(NOT(AND(ISNUMBER(Market!$B$11),Market!$B$11&lt;&gt;0)),NOT(AND(ISNUMBER(Data!L28),Data!L28&lt;&gt;0))))),"-",ABS(Data!L56)/(Data!$B$8*IF(AND(ISNUMBER(Market!$B$11),Market!$B$11&lt;&gt;0),Market!$B$11,Data!L28)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461" t="n"/>
      <c r="X89" s="461" t="n"/>
      <c r="Y89" s="461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IFERROR(IF(OR(NOT(ISNUMBER(Data!C28)),NOT(ISNUMBER(Data!$B$8))),"-",(ABS(Data!C55)+ABS(Data!C56))/(Data!$B$8*Data!C28)),"-")</f>
        <v/>
      </c>
      <c r="D90" s="90">
        <f>IFERROR(IF(OR(OR(NOT(AND(ISNUMBER(Data!$B$8),Data!$B$8&lt;&gt;0)),AND(NOT(AND(ISNUMBER(Market!$B$11),Market!$B$11&lt;&gt;0)),NOT(AND(ISNUMBER(Data!D28),Data!D28&lt;&gt;0))))),"-",(ABS(Data!D55)+ABS(Data!D56))/(Data!$B$8*IF(AND(ISNUMBER(Market!$B$11),Market!$B$11&lt;&gt;0),Market!$B$11,Data!D28))),"-")</f>
        <v/>
      </c>
      <c r="E90" s="90">
        <f>IFERROR(IF(OR(OR(NOT(AND(ISNUMBER(Data!$B$8),Data!$B$8&lt;&gt;0)),AND(NOT(AND(ISNUMBER(Market!$B$11),Market!$B$11&lt;&gt;0)),NOT(AND(ISNUMBER(Data!E28),Data!E28&lt;&gt;0))))),"-",(ABS(Data!E55)+ABS(Data!E56))/(Data!$B$8*IF(AND(ISNUMBER(Market!$B$11),Market!$B$11&lt;&gt;0),Market!$B$11,Data!E28))),"-")</f>
        <v/>
      </c>
      <c r="F90" s="90">
        <f>IFERROR(IF(OR(OR(NOT(AND(ISNUMBER(Data!$B$8),Data!$B$8&lt;&gt;0)),AND(NOT(AND(ISNUMBER(Market!$B$11),Market!$B$11&lt;&gt;0)),NOT(AND(ISNUMBER(Data!F28),Data!F28&lt;&gt;0))))),"-",(ABS(Data!F55)+ABS(Data!F56))/(Data!$B$8*IF(AND(ISNUMBER(Market!$B$11),Market!$B$11&lt;&gt;0),Market!$B$11,Data!F28))),"-")</f>
        <v/>
      </c>
      <c r="G90" s="90">
        <f>IFERROR(IF(OR(OR(NOT(AND(ISNUMBER(Data!$B$8),Data!$B$8&lt;&gt;0)),AND(NOT(AND(ISNUMBER(Market!$B$11),Market!$B$11&lt;&gt;0)),NOT(AND(ISNUMBER(Data!G28),Data!G28&lt;&gt;0))))),"-",(ABS(Data!G55)+ABS(Data!G56))/(Data!$B$8*IF(AND(ISNUMBER(Market!$B$11),Market!$B$11&lt;&gt;0),Market!$B$11,Data!G28))),"-")</f>
        <v/>
      </c>
      <c r="H90" s="90">
        <f>IFERROR(IF(OR(OR(NOT(AND(ISNUMBER(Data!$B$8),Data!$B$8&lt;&gt;0)),AND(NOT(AND(ISNUMBER(Market!$B$11),Market!$B$11&lt;&gt;0)),NOT(AND(ISNUMBER(Data!H28),Data!H28&lt;&gt;0))))),"-",(ABS(Data!H55)+ABS(Data!H56))/(Data!$B$8*IF(AND(ISNUMBER(Market!$B$11),Market!$B$11&lt;&gt;0),Market!$B$11,Data!H28))),"-")</f>
        <v/>
      </c>
      <c r="I90" s="90">
        <f>IFERROR(IF(OR(OR(NOT(AND(ISNUMBER(Data!$B$8),Data!$B$8&lt;&gt;0)),AND(NOT(AND(ISNUMBER(Market!$B$11),Market!$B$11&lt;&gt;0)),NOT(AND(ISNUMBER(Data!I28),Data!I28&lt;&gt;0))))),"-",(ABS(Data!I55)+ABS(Data!I56))/(Data!$B$8*IF(AND(ISNUMBER(Market!$B$11),Market!$B$11&lt;&gt;0),Market!$B$11,Data!I28))),"-")</f>
        <v/>
      </c>
      <c r="J90" s="90">
        <f>IFERROR(IF(OR(OR(NOT(AND(ISNUMBER(Data!$B$8),Data!$B$8&lt;&gt;0)),AND(NOT(AND(ISNUMBER(Market!$B$11),Market!$B$11&lt;&gt;0)),NOT(AND(ISNUMBER(Data!J28),Data!J28&lt;&gt;0))))),"-",(ABS(Data!J55)+ABS(Data!J56))/(Data!$B$8*IF(AND(ISNUMBER(Market!$B$11),Market!$B$11&lt;&gt;0),Market!$B$11,Data!J28))),"-")</f>
        <v/>
      </c>
      <c r="K90" s="90">
        <f>IFERROR(IF(OR(OR(NOT(AND(ISNUMBER(Data!$B$8),Data!$B$8&lt;&gt;0)),AND(NOT(AND(ISNUMBER(Market!$B$11),Market!$B$11&lt;&gt;0)),NOT(AND(ISNUMBER(Data!K28),Data!K28&lt;&gt;0))))),"-",(ABS(Data!K55)+ABS(Data!K56))/(Data!$B$8*IF(AND(ISNUMBER(Market!$B$11),Market!$B$11&lt;&gt;0),Market!$B$11,Data!K28))),"-")</f>
        <v/>
      </c>
      <c r="L90" s="90">
        <f>IFERROR(IF(OR(OR(NOT(AND(ISNUMBER(Data!$B$8),Data!$B$8&lt;&gt;0)),AND(NOT(AND(ISNUMBER(Market!$B$11),Market!$B$11&lt;&gt;0)),NOT(AND(ISNUMBER(Data!L28),Data!L28&lt;&gt;0))))),"-",(ABS(Data!L55)+ABS(Data!L56))/(Data!$B$8*IF(AND(ISNUMBER(Market!$B$11),Market!$B$11&lt;&gt;0),Market!$B$11,Data!L28)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461" t="n"/>
      <c r="X90" s="461" t="n"/>
      <c r="Y90" s="461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IFERROR(Data!B8/((Data!C41-Data!C43)/Data!C28),"-")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461" t="n"/>
      <c r="X91" s="461" t="n"/>
      <c r="Y91" s="461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IFERROR(IF(OR(NOT(ISNUMBER(Data!$B$8)),NOT(ISNUMBER(Data!D27))),"-",Data!$B$8/(Data!D27/4)),"-")</f>
        <v/>
      </c>
      <c r="E95" s="91">
        <f>IFERROR(IF(OR(NOT(ISNUMBER(Data!$B$8)),NOT(ISNUMBER(Data!E27))),"-",Data!$B$8/(Data!E27/4)),"-")</f>
        <v/>
      </c>
      <c r="F95" s="91">
        <f>IFERROR(IF(OR(NOT(ISNUMBER(Data!$B$8)),NOT(ISNUMBER(Data!F27))),"-",Data!$B$8/(Data!F27/4)),"-")</f>
        <v/>
      </c>
      <c r="G95" s="91">
        <f>IFERROR(IF(OR(NOT(ISNUMBER(Data!$B$8)),NOT(ISNUMBER(Data!G27))),"-",Data!$B$8/(Data!G27/4)),"-")</f>
        <v/>
      </c>
      <c r="H95" s="91">
        <f>IFERROR(IF(OR(NOT(ISNUMBER(Data!$B$8)),NOT(ISNUMBER(Data!H27))),"-",Data!$B$8/(Data!H27/4)),"-")</f>
        <v/>
      </c>
      <c r="I95" s="91">
        <f>IFERROR(IF(OR(NOT(ISNUMBER(Data!$B$8)),NOT(ISNUMBER(Data!I27))),"-",Data!$B$8/(Data!I27/4)),"-")</f>
        <v/>
      </c>
      <c r="J95" s="91">
        <f>IFERROR(IF(OR(NOT(ISNUMBER(Data!$B$8)),NOT(ISNUMBER(Data!J27))),"-",Data!$B$8/(Data!J27/4)),"-")</f>
        <v/>
      </c>
      <c r="K95" s="91">
        <f>IFERROR(IF(OR(NOT(ISNUMBER(Data!$B$8)),NOT(ISNUMBER(Data!K27))),"-",Data!$B$8/(Data!K27/4)),"-")</f>
        <v/>
      </c>
      <c r="L95" s="91">
        <f>IFERROR(IF(OR(NOT(ISNUMBER(Data!$B$8)),NOT(ISNUMBER(Data!L27))),"-",Data!$B$8/(Data!L27/4)),"-")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IFERROR(IF(OR(NOT(ISNUMBER(Data!$B$8)),NOT(ISNUMBER(Data!C28)),NOT(ISNUMBER(Data!C14))),"-",(Data!$B$8*Data!C28)/Data!C14),"-")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IFERROR(IF(OR(NOT(ISNUMBER(Data!$B$8)),NOT(ISNUMBER(Metrics!C31))),"-",Data!$B$8/Metrics!C31),"-")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IFERROR(IF(OR(NOT(ISNUMBER(Data!$B$8)),NOT(ISNUMBER(Data!C28)),NOT(ISNUMBER(Data!C20))),"-",(Data!$B$8*Data!C28+Data!C36+Data!C42)/Data!C20),"-")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IFERROR(IF(OR(NOT(ISNUMBER(Data!$B$8)),NOT(ISNUMBER(Data!C28)),NOT(ISNUMBER(Data!C22))),"-",(Data!$B$8*Data!C28+Data!C36+Data!C42)/Data!C22),"-")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IFERROR(IF(OR(NOT(ISNUMBER(Metrics!C31)),NOT(ISNUMBER(Data!$B$8))),"-",Metrics!C31/Data!$B$8),"-")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457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7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7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IFERROR(IF(OR(NOT(ISNUMBER(Data!D27)),NOT(ISNUMBER(Data!$B$8))),"-",(Data!D27/4)/Data!$B$8),"-")</f>
        <v/>
      </c>
      <c r="E102" s="89">
        <f>IFERROR(IF(OR(NOT(ISNUMBER(Data!E27)),NOT(ISNUMBER(Data!$B$8))),"-",(Data!E27/4)/Data!$B$8),"-")</f>
        <v/>
      </c>
      <c r="F102" s="89">
        <f>IFERROR(IF(OR(NOT(ISNUMBER(Data!F27)),NOT(ISNUMBER(Data!$B$8))),"-",(Data!F27/4)/Data!$B$8),"-")</f>
        <v/>
      </c>
      <c r="G102" s="89">
        <f>IFERROR(IF(OR(NOT(ISNUMBER(Data!G27)),NOT(ISNUMBER(Data!$B$8))),"-",(Data!G27/4)/Data!$B$8),"-")</f>
        <v/>
      </c>
      <c r="H102" s="89">
        <f>IFERROR(IF(OR(NOT(ISNUMBER(Data!H27)),NOT(ISNUMBER(Data!$B$8))),"-",(Data!H27/4)/Data!$B$8),"-")</f>
        <v/>
      </c>
      <c r="I102" s="89">
        <f>IFERROR(IF(OR(NOT(ISNUMBER(Data!I27)),NOT(ISNUMBER(Data!$B$8))),"-",(Data!I27/4)/Data!$B$8),"-")</f>
        <v/>
      </c>
      <c r="J102" s="89">
        <f>IFERROR(IF(OR(NOT(ISNUMBER(Data!J27)),NOT(ISNUMBER(Data!$B$8))),"-",(Data!J27/4)/Data!$B$8),"-")</f>
        <v/>
      </c>
      <c r="K102" s="89">
        <f>IFERROR(IF(OR(NOT(ISNUMBER(Data!K27)),NOT(ISNUMBER(Data!$B$8))),"-",(Data!K27/4)/Data!$B$8),"-")</f>
        <v/>
      </c>
      <c r="L102" s="89">
        <f>IFERROR(IF(OR(NOT(ISNUMBER(Data!L27)),NOT(ISNUMBER(Data!$B$8))),"-",(Data!L27/4)/Data!$B$8),"-")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457">
        <f>IFERROR(IF(OR(NOT(ISNUMBER(Data!T27)),NOT(ISNUMBER(Data!U27)),NOT(ISNUMBER(Data!V27)),NOT(ISNUMBER(Data!W27)),NOT(ISNUMBER(Data!$B$8))),"-",(Data!T27+Data!U27+Data!V27+Data!W27)/Data!$B$8),"-")</f>
        <v/>
      </c>
      <c r="X102" s="457">
        <f>IFERROR(IF(OR(NOT(ISNUMBER(Data!U27)),NOT(ISNUMBER(Data!V27)),NOT(ISNUMBER(Data!W27)),NOT(ISNUMBER(Data!X27)),NOT(ISNUMBER(Data!$B$8))),"-",(Data!U27+Data!V27+Data!W27+Data!X27)/Data!$B$8),"-")</f>
        <v/>
      </c>
      <c r="Y102" s="457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459" t="n"/>
      <c r="X103" s="459" t="n"/>
      <c r="Y103" s="459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457">
        <f>IFERROR(IF(OR(NOT(ISNUMBER(Data!W37)),NOT(ISNUMBER(Data!W38)),NOT(ISNUMBER(Data!W39))),"-",(Data!W37-Data!W38)/Data!W39),"-")</f>
        <v/>
      </c>
      <c r="X107" s="457">
        <f>IFERROR(IF(OR(NOT(ISNUMBER(Data!X37)),NOT(ISNUMBER(Data!X38)),NOT(ISNUMBER(Data!X39))),"-",(Data!X37-Data!X38)/Data!X39),"-")</f>
        <v/>
      </c>
      <c r="Y107" s="457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457">
        <f>IFERROR(IF(OR(NOT(ISNUMBER(Data!W48)),NOT(ISNUMBER(Data!W39))),"-",Data!W48/Data!W39),"-")</f>
        <v/>
      </c>
      <c r="X108" s="457">
        <f>IFERROR(IF(OR(NOT(ISNUMBER(Data!X48)),NOT(ISNUMBER(Data!X39))),"-",Data!X48/Data!X39),"-")</f>
        <v/>
      </c>
      <c r="Y108" s="457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457">
        <f>IFERROR(IF(OR(NOT(ISNUMBER(Data!W41)),NOT(ISNUMBER(Data!W40))),"-",Data!W41/Data!W40),"-")</f>
        <v/>
      </c>
      <c r="X110" s="457">
        <f>IFERROR(IF(OR(NOT(ISNUMBER(Data!X41)),NOT(ISNUMBER(Data!X40))),"-",Data!X41/Data!X40),"-")</f>
        <v/>
      </c>
      <c r="Y110" s="457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457">
        <f>IFERROR(IF(OR(NOT(ISNUMBER(Data!T14)),NOT(ISNUMBER(Data!U14)),NOT(ISNUMBER(Data!V14)),NOT(ISNUMBER(Data!W14)),NOT(ISNUMBER(Data!W39))),"-",(Data!T14+Data!U14+Data!V14+Data!W14)/Data!W39),"-")</f>
        <v/>
      </c>
      <c r="X111" s="457">
        <f>IFERROR(IF(OR(NOT(ISNUMBER(Data!U14)),NOT(ISNUMBER(Data!V14)),NOT(ISNUMBER(Data!W14)),NOT(ISNUMBER(Data!X14)),NOT(ISNUMBER(Data!X39))),"-",(Data!U14+Data!V14+Data!W14+Data!X14)/Data!X39),"-")</f>
        <v/>
      </c>
      <c r="Y111" s="457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 t="n"/>
      <c r="C112" s="83">
        <f>IFERROR(IF(OR(NOT(ISNUMBER(Metrics!C107)),NOT(ISNUMBER(Metrics!C108)),NOT(ISNUMBER(Metrics!C109)),NOT(ISNUMBER(Metrics!C110)),NOT(ISNUMBER(Metrics!C111))),"-",1.2*Metrics!C107+1.4*Metrics!C108+3.3*Metrics!C109+0.6*Metrics!C110+1*Metrics!C111),"-")</f>
        <v/>
      </c>
      <c r="D112" s="83">
        <f>IFERROR(IF(OR(NOT(ISNUMBER(Metrics!D107)),NOT(ISNUMBER(Metrics!D108)),NOT(ISNUMBER(Metrics!D109)),NOT(ISNUMBER(Metrics!D110)),NOT(ISNUMBER(Metrics!D111))),"-",1.2*Metrics!D107+1.4*Metrics!D108+3.3*Metrics!D109+0.6*Metrics!D110+1*Metrics!D111),"-")</f>
        <v/>
      </c>
      <c r="E112" s="83">
        <f>IFERROR(IF(OR(NOT(ISNUMBER(Metrics!E107)),NOT(ISNUMBER(Metrics!E108)),NOT(ISNUMBER(Metrics!E109)),NOT(ISNUMBER(Metrics!E110)),NOT(ISNUMBER(Metrics!E111))),"-",1.2*Metrics!E107+1.4*Metrics!E108+3.3*Metrics!E109+0.6*Metrics!E110+1*Metrics!E111),"-")</f>
        <v/>
      </c>
      <c r="F112" s="83">
        <f>IFERROR(IF(OR(NOT(ISNUMBER(Metrics!F107)),NOT(ISNUMBER(Metrics!F108)),NOT(ISNUMBER(Metrics!F109)),NOT(ISNUMBER(Metrics!F110)),NOT(ISNUMBER(Metrics!F111))),"-",1.2*Metrics!F107+1.4*Metrics!F108+3.3*Metrics!F109+0.6*Metrics!F110+1*Metrics!F111),"-")</f>
        <v/>
      </c>
      <c r="G112" s="83">
        <f>IFERROR(IF(OR(NOT(ISNUMBER(Metrics!G107)),NOT(ISNUMBER(Metrics!G108)),NOT(ISNUMBER(Metrics!G109)),NOT(ISNUMBER(Metrics!G110)),NOT(ISNUMBER(Metrics!G111))),"-",1.2*Metrics!G107+1.4*Metrics!G108+3.3*Metrics!G109+0.6*Metrics!G110+1*Metrics!G111),"-")</f>
        <v/>
      </c>
      <c r="H112" s="83">
        <f>IFERROR(IF(OR(NOT(ISNUMBER(Metrics!H107)),NOT(ISNUMBER(Metrics!H108)),NOT(ISNUMBER(Metrics!H109)),NOT(ISNUMBER(Metrics!H110)),NOT(ISNUMBER(Metrics!H111))),"-",1.2*Metrics!H107+1.4*Metrics!H108+3.3*Metrics!H109+0.6*Metrics!H110+1*Metrics!H111),"-")</f>
        <v/>
      </c>
      <c r="I112" s="83">
        <f>IFERROR(IF(OR(NOT(ISNUMBER(Metrics!I107)),NOT(ISNUMBER(Metrics!I108)),NOT(ISNUMBER(Metrics!I109)),NOT(ISNUMBER(Metrics!I110)),NOT(ISNUMBER(Metrics!I111))),"-",1.2*Metrics!I107+1.4*Metrics!I108+3.3*Metrics!I109+0.6*Metrics!I110+1*Metrics!I111),"-")</f>
        <v/>
      </c>
      <c r="J112" s="83">
        <f>IFERROR(IF(OR(NOT(ISNUMBER(Metrics!J107)),NOT(ISNUMBER(Metrics!J108)),NOT(ISNUMBER(Metrics!J109)),NOT(ISNUMBER(Metrics!J110)),NOT(ISNUMBER(Metrics!J111))),"-",1.2*Metrics!J107+1.4*Metrics!J108+3.3*Metrics!J109+0.6*Metrics!J110+1*Metrics!J111),"-")</f>
        <v/>
      </c>
      <c r="K112" s="83">
        <f>IFERROR(IF(OR(NOT(ISNUMBER(Metrics!K107)),NOT(ISNUMBER(Metrics!K108)),NOT(ISNUMBER(Metrics!K109)),NOT(ISNUMBER(Metrics!K110)),NOT(ISNUMBER(Metrics!K111))),"-",1.2*Metrics!K107+1.4*Metrics!K108+3.3*Metrics!K109+0.6*Metrics!K110+1*Metrics!K111),"-")</f>
        <v/>
      </c>
      <c r="L112" s="83">
        <f>IFERROR(IF(OR(NOT(ISNUMBER(Metrics!L107)),NOT(ISNUMBER(Metrics!L108)),NOT(ISNUMBER(Metrics!L109)),NOT(ISNUMBER(Metrics!L110)),NOT(ISNUMBER(Metrics!L111))),"-",1.2*Metrics!L107+1.4*Metrics!L108+3.3*Metrics!L109+0.6*Metrics!L110+1*Metrics!L111),"-")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IFERROR(IF(OR(NOT(ISNUMBER(Metrics!Q107)),NOT(ISNUMBER(Metrics!Q108)),NOT(ISNUMBER(Metrics!Q109)),NOT(ISNUMBER(Metrics!Q110)),NOT(ISNUMBER(Metrics!Q111))),"-",1.2*Metrics!Q107+1.4*Metrics!Q108+3.3*Metrics!Q109+0.6*Metrics!Q110+1*Metrics!Q111),"-")</f>
        <v/>
      </c>
      <c r="R112" s="245">
        <f>IFERROR(IF(OR(NOT(ISNUMBER(Metrics!R107)),NOT(ISNUMBER(Metrics!R108)),NOT(ISNUMBER(Metrics!R109)),NOT(ISNUMBER(Metrics!R110)),NOT(ISNUMBER(Metrics!R111))),"-",1.2*Metrics!R107+1.4*Metrics!R108+3.3*Metrics!R109+0.6*Metrics!R110+1*Metrics!R111),"-")</f>
        <v/>
      </c>
      <c r="S112" s="245">
        <f>IFERROR(IF(OR(NOT(ISNUMBER(Metrics!S107)),NOT(ISNUMBER(Metrics!S108)),NOT(ISNUMBER(Metrics!S109)),NOT(ISNUMBER(Metrics!S110)),NOT(ISNUMBER(Metrics!S111))),"-",1.2*Metrics!S107+1.4*Metrics!S108+3.3*Metrics!S109+0.6*Metrics!S110+1*Metrics!S111),"-")</f>
        <v/>
      </c>
      <c r="T112" s="245">
        <f>IFERROR(IF(OR(NOT(ISNUMBER(Metrics!T107)),NOT(ISNUMBER(Metrics!T108)),NOT(ISNUMBER(Metrics!T109)),NOT(ISNUMBER(Metrics!T110)),NOT(ISNUMBER(Metrics!T111))),"-",1.2*Metrics!T107+1.4*Metrics!T108+3.3*Metrics!T109+0.6*Metrics!T110+1*Metrics!T111),"-")</f>
        <v/>
      </c>
      <c r="U112" s="245">
        <f>IFERROR(IF(OR(NOT(ISNUMBER(Metrics!U107)),NOT(ISNUMBER(Metrics!U108)),NOT(ISNUMBER(Metrics!U109)),NOT(ISNUMBER(Metrics!U110)),NOT(ISNUMBER(Metrics!U111))),"-",1.2*Metrics!U107+1.4*Metrics!U108+3.3*Metrics!U109+0.6*Metrics!U110+1*Metrics!U111),"-")</f>
        <v/>
      </c>
      <c r="V112" s="258">
        <f>IFERROR(IF(OR(NOT(ISNUMBER(Metrics!V107)),NOT(ISNUMBER(Metrics!V108)),NOT(ISNUMBER(Metrics!V109)),NOT(ISNUMBER(Metrics!V110)),NOT(ISNUMBER(Metrics!V111))),"-",1.2*Metrics!V107+1.4*Metrics!V108+3.3*Metrics!V109+0.6*Metrics!V110+1*Metrics!V111),"-")</f>
        <v/>
      </c>
      <c r="W112" s="457">
        <f>IFERROR(IF(OR(NOT(ISNUMBER(Metrics!W107)),NOT(ISNUMBER(Metrics!W108)),NOT(ISNUMBER(Metrics!W109)),NOT(ISNUMBER(Metrics!W110)),NOT(ISNUMBER(Metrics!W111))),"-",1.2*Metrics!W107+1.4*Metrics!W108+3.3*Metrics!W109+0.6*Metrics!W110+1*Metrics!W111),"-")</f>
        <v/>
      </c>
      <c r="X112" s="457">
        <f>IFERROR(IF(OR(NOT(ISNUMBER(Metrics!X107)),NOT(ISNUMBER(Metrics!X108)),NOT(ISNUMBER(Metrics!X109)),NOT(ISNUMBER(Metrics!X110)),NOT(ISNUMBER(Metrics!X111))),"-",1.2*Metrics!X107+1.4*Metrics!X108+3.3*Metrics!X109+0.6*Metrics!X110+1*Metrics!X111),"-")</f>
        <v/>
      </c>
      <c r="Y112" s="457">
        <f>IFERROR(IF(OR(NOT(ISNUMBER(Metrics!Y107)),NOT(ISNUMBER(Metrics!Y108)),NOT(ISNUMBER(Metrics!Y109)),NOT(ISNUMBER(Metrics!Y110)),NOT(ISNUMBER(Metrics!Y111))),"-",1.2*Metrics!Y107+1.4*Metrics!Y108+3.3*Metrics!Y109+0.6*Metrics!Y110+1*Metrics!Y111),"-")</f>
        <v/>
      </c>
    </row>
    <row r="113" ht="15" customHeight="1" s="74">
      <c r="A113" s="32" t="inlineStr">
        <is>
          <t>Zone (&gt;2.99=Safe, 1.81-2.99=Gray, &lt;1.81=Distress)</t>
        </is>
      </c>
      <c r="B113" s="33">
        <f>IFERROR(IF(B112&gt;2.99,"Safe",IF(B112&gt;1.81,"Gray","Distress")),"-")</f>
        <v/>
      </c>
      <c r="C113" s="33">
        <f>IFERROR(IF(C112&gt;2.99,"Safe",IF(C112&gt;1.81,"Gray","Distress")),"-")</f>
        <v/>
      </c>
      <c r="D113" s="33">
        <f>IFERROR(IF(D112&gt;2.99,"Safe",IF(D112&gt;1.81,"Gray","Distress")),"-")</f>
        <v/>
      </c>
      <c r="E113" s="33">
        <f>IFERROR(IF(E112&gt;2.99,"Safe",IF(E112&gt;1.81,"Gray","Distress")),"-")</f>
        <v/>
      </c>
      <c r="F113" s="33">
        <f>IFERROR(IF(F112&gt;2.99,"Safe",IF(F112&gt;1.81,"Gray","Distress")),"-")</f>
        <v/>
      </c>
      <c r="G113" s="33">
        <f>IFERROR(IF(G112&gt;2.99,"Safe",IF(G112&gt;1.81,"Gray","Distress")),"-")</f>
        <v/>
      </c>
      <c r="H113" s="33">
        <f>IFERROR(IF(H112&gt;2.99,"Safe",IF(H112&gt;1.81,"Gray","Distress")),"-")</f>
        <v/>
      </c>
      <c r="I113" s="33">
        <f>IFERROR(IF(I112&gt;2.99,"Safe",IF(I112&gt;1.81,"Gray","Distress")),"-")</f>
        <v/>
      </c>
      <c r="J113" s="33">
        <f>IFERROR(IF(J112&gt;2.99,"Safe",IF(J112&gt;1.81,"Gray","Distress")),"-")</f>
        <v/>
      </c>
      <c r="K113" s="33">
        <f>IFERROR(IF(K112&gt;2.99,"Safe",IF(K112&gt;1.81,"Gray","Distress")),"-")</f>
        <v/>
      </c>
      <c r="L113" s="33">
        <f>IFERROR(IF(L112&gt;2.99,"Safe",IF(L112&gt;1.81,"Gray","Distress")),"-")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457" t="n"/>
      <c r="X113" s="457" t="n"/>
      <c r="Y113" s="457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459" t="n"/>
      <c r="X114" s="459" t="n"/>
      <c r="Y114" s="459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457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7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7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457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7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7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457">
        <f>IFERROR(IF(OR(NOT(ISNUMBER(Data!W39)),NOT(ISNUMBER(Data!W41))),"-",Data!W39/Data!W41),"-")</f>
        <v/>
      </c>
      <c r="X120" s="457">
        <f>IFERROR(IF(OR(NOT(ISNUMBER(Data!X39)),NOT(ISNUMBER(Data!X41))),"-",Data!X39/Data!X41),"-")</f>
        <v/>
      </c>
      <c r="Y120" s="457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457" t="n"/>
      <c r="X121" s="457" t="n"/>
      <c r="Y121" s="457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457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7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7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457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7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7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457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7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7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457" t="n"/>
      <c r="X126" s="457" t="n"/>
      <c r="Y126" s="457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463">
        <f>IFERROR(IF(OR(NOT(ISNUMBER(Data!W14)),NOT(ISNUMBER(Data!V14))),"-",(Data!W14-Data!V14)/ABS(Data!V14)),"-")</f>
        <v/>
      </c>
      <c r="X130" s="463">
        <f>IFERROR(IF(OR(NOT(ISNUMBER(Data!X14)),NOT(ISNUMBER(Data!W14))),"-",(Data!X14-Data!W14)/ABS(Data!W14)),"-")</f>
        <v/>
      </c>
      <c r="Y130" s="463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463">
        <f>IFERROR(IF(OR(NOT(ISNUMBER(Data!W26)),NOT(ISNUMBER(Data!V26))),"-",(Data!W26-Data!V26)/ABS(Data!V26)),"-")</f>
        <v/>
      </c>
      <c r="X131" s="463">
        <f>IFERROR(IF(OR(NOT(ISNUMBER(Data!X26)),NOT(ISNUMBER(Data!W26))),"-",(Data!X26-Data!W26)/ABS(Data!W26)),"-")</f>
        <v/>
      </c>
      <c r="Y131" s="463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463">
        <f>IFERROR(IF(OR(NOT(ISNUMBER(Data!W27)),NOT(ISNUMBER(Data!V27))),"-",(Data!W27-Data!V27)/ABS(Data!V27)),"-")</f>
        <v/>
      </c>
      <c r="X132" s="463">
        <f>IFERROR(IF(OR(NOT(ISNUMBER(Data!X27)),NOT(ISNUMBER(Data!W27))),"-",(Data!X27-Data!W27)/ABS(Data!W27)),"-")</f>
        <v/>
      </c>
      <c r="Y132" s="463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463">
        <f>IFERROR(IF(OR(NOT(ISNUMBER(Data!W20)),NOT(ISNUMBER(Data!V20))),"-",(Data!W20-Data!V20)/ABS(Data!V20)),"-")</f>
        <v/>
      </c>
      <c r="X133" s="463">
        <f>IFERROR(IF(OR(NOT(ISNUMBER(Data!X20)),NOT(ISNUMBER(Data!W20))),"-",(Data!X20-Data!W20)/ABS(Data!W20)),"-")</f>
        <v/>
      </c>
      <c r="Y133" s="463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463">
        <f>IFERROR(IF(OR(NOT(ISNUMBER(Data!W53)),NOT(ISNUMBER(Data!V53))),"-",(Data!W53-Data!V53)/ABS(Data!V53)),"-")</f>
        <v/>
      </c>
      <c r="X134" s="463">
        <f>IFERROR(IF(OR(NOT(ISNUMBER(Data!X53)),NOT(ISNUMBER(Data!W53))),"-",(Data!X53-Data!W53)/ABS(Data!W53)),"-")</f>
        <v/>
      </c>
      <c r="Y134" s="463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463">
        <f>IFERROR(IF(OR(NOT(ISNUMBER(Data!W14)),NOT(ISNUMBER(Data!S14))),"-",(Data!W14-Data!S14)/ABS(Data!S14)),"-")</f>
        <v/>
      </c>
      <c r="X137" s="463">
        <f>IFERROR(IF(OR(NOT(ISNUMBER(Data!X14)),NOT(ISNUMBER(Data!T14))),"-",(Data!X14-Data!T14)/ABS(Data!T14)),"-")</f>
        <v/>
      </c>
      <c r="Y137" s="463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463">
        <f>IFERROR(IF(OR(NOT(ISNUMBER(Data!W26)),NOT(ISNUMBER(Data!S26))),"-",(Data!W26-Data!S26)/ABS(Data!S26)),"-")</f>
        <v/>
      </c>
      <c r="X138" s="463">
        <f>IFERROR(IF(OR(NOT(ISNUMBER(Data!X26)),NOT(ISNUMBER(Data!T26))),"-",(Data!X26-Data!T26)/ABS(Data!T26)),"-")</f>
        <v/>
      </c>
      <c r="Y138" s="463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463">
        <f>IFERROR(IF(OR(NOT(ISNUMBER(Data!W27)),NOT(ISNUMBER(Data!S27))),"-",(Data!W27-Data!S27)/ABS(Data!S27)),"-")</f>
        <v/>
      </c>
      <c r="X139" s="463">
        <f>IFERROR(IF(OR(NOT(ISNUMBER(Data!X27)),NOT(ISNUMBER(Data!T27))),"-",(Data!X27-Data!T27)/ABS(Data!T27)),"-")</f>
        <v/>
      </c>
      <c r="Y139" s="463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463">
        <f>IFERROR(IF(OR(NOT(ISNUMBER(Data!W20)),NOT(ISNUMBER(Data!S20))),"-",(Data!W20-Data!S20)/ABS(Data!S20)),"-")</f>
        <v/>
      </c>
      <c r="X140" s="463">
        <f>IFERROR(IF(OR(NOT(ISNUMBER(Data!X20)),NOT(ISNUMBER(Data!T20))),"-",(Data!X20-Data!T20)/ABS(Data!T20)),"-")</f>
        <v/>
      </c>
      <c r="Y140" s="463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463">
        <f>IFERROR(IF(OR(NOT(ISNUMBER(Data!W53)),NOT(ISNUMBER(Data!S53))),"-",(Data!W53-Data!S53)/ABS(Data!S53)),"-")</f>
        <v/>
      </c>
      <c r="X141" s="463">
        <f>IFERROR(IF(OR(NOT(ISNUMBER(Data!X53)),NOT(ISNUMBER(Data!T53))),"-",(Data!X53-Data!T53)/ABS(Data!T53)),"-")</f>
        <v/>
      </c>
      <c r="Y141" s="463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463">
        <f>IFERROR(IF(OR(NOT(ISNUMBER(Data!W16)),NOT(ISNUMBER(Data!W14))),"-",Data!W16/Data!W14),"-")</f>
        <v/>
      </c>
      <c r="X144" s="463">
        <f>IFERROR(IF(OR(NOT(ISNUMBER(Data!X16)),NOT(ISNUMBER(Data!X14))),"-",Data!X16/Data!X14),"-")</f>
        <v/>
      </c>
      <c r="Y144" s="463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463">
        <f>IFERROR(IF(OR(NOT(ISNUMBER(Data!W20)),NOT(ISNUMBER(Data!W14))),"-",Data!W20/Data!W14),"-")</f>
        <v/>
      </c>
      <c r="X145" s="463">
        <f>IFERROR(IF(OR(NOT(ISNUMBER(Data!X20)),NOT(ISNUMBER(Data!X14))),"-",Data!X20/Data!X14),"-")</f>
        <v/>
      </c>
      <c r="Y145" s="463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463">
        <f>IFERROR(IF(OR(NOT(ISNUMBER(Data!W22)),NOT(ISNUMBER(Data!W14))),"-",Data!W22/Data!W14),"-")</f>
        <v/>
      </c>
      <c r="X146" s="463">
        <f>IFERROR(IF(OR(NOT(ISNUMBER(Data!X22)),NOT(ISNUMBER(Data!X14))),"-",Data!X22/Data!X14),"-")</f>
        <v/>
      </c>
      <c r="Y146" s="463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463">
        <f>IFERROR(IF(OR(NOT(ISNUMBER(Data!W26)),NOT(ISNUMBER(Data!W14))),"-",Data!W26/Data!W14),"-")</f>
        <v/>
      </c>
      <c r="X147" s="463">
        <f>IFERROR(IF(OR(NOT(ISNUMBER(Data!X26)),NOT(ISNUMBER(Data!X14))),"-",Data!X26/Data!X14),"-")</f>
        <v/>
      </c>
      <c r="Y147" s="463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463">
        <f>IFERROR(IF(OR(NOT(ISNUMBER(Data!W53)),NOT(ISNUMBER(Data!W14))),"-",Data!W53/Data!W14),"-")</f>
        <v/>
      </c>
      <c r="X148" s="463">
        <f>IFERROR(IF(OR(NOT(ISNUMBER(Data!X53)),NOT(ISNUMBER(Data!X14))),"-",Data!X53/Data!X14),"-")</f>
        <v/>
      </c>
      <c r="Y148" s="463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IFERROR(IF(OR(NOT(ISNUMBER(Data!L27)),NOT(ISNUMBER(Data!I27)),Data!I27&lt;=0),"-",((Data!L27/4)/(Data!I27/4))^(1/3)-1),"-")</f>
        <v/>
      </c>
      <c r="C156" s="81">
        <f>IFERROR(IF(OR(NOT(ISNUMBER(Data!L27)),NOT(ISNUMBER(Data!G27)),Data!G27&lt;=0),"-",((Data!L27/4)/(Data!G27/4))^(1/5)-1),"-")</f>
        <v/>
      </c>
      <c r="D156" s="81">
        <f>IFERROR(IF(OR(NOT(ISNUMBER(Data!L27)),NOT(ISNUMBER(Data!B27)),Data!B27&lt;=0,Data!L27&lt;0),"-",((Data!L27/4)/(Data!B27/4))^(1/10)-1),"-")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IFERROR(IF(OR(NOT(ISNUMBER(Data!L55)),NOT(ISNUMBER(Data!L28)),NOT(ISNUMBER(Data!I55)),NOT(ISNUMBER(Data!I28))),"-",((ABS(Data!L55)/(Data!L28*4))/(ABS(Data!I55)/(Data!I28*4)))^(1/3)-1),"-")</f>
        <v/>
      </c>
      <c r="C159" s="84">
        <f>IFERROR(IF(OR(NOT(ISNUMBER(Data!L55)),NOT(ISNUMBER(Data!L28)),NOT(ISNUMBER(Data!G55)),NOT(ISNUMBER(Data!G28))),"-",((ABS(Data!L55)/(Data!L28*4))/(ABS(Data!G55)/(Data!G28*4)))^(1/5)-1),"-")</f>
        <v/>
      </c>
      <c r="D159" s="84">
        <f>IFERROR(IF(OR(NOT(ISNUMBER(Data!L55)),NOT(ISNUMBER(Data!L28)),NOT(ISNUMBER(Data!B55)),NOT(ISNUMBER(Data!B28))),"-",((ABS(Data!L55)/(Data!L28*4))/(ABS(Data!B55)/(Data!B28*4)))^(1/10)-1),"-")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IFERROR(IF(OR(NOT(ISNUMBER(Data!L28)),NOT(ISNUMBER(Data!I28)),Data!I28&lt;=0),"-",((Data!L28*4)/(Data!I28*4))^(1/3)-1),"-")</f>
        <v/>
      </c>
      <c r="C160" s="84">
        <f>IFERROR(IF(OR(NOT(ISNUMBER(Data!L28)),NOT(ISNUMBER(Data!G28)),Data!G28&lt;=0),"-",((Data!L28*4)/(Data!G28*4))^(1/5)-1),"-")</f>
        <v/>
      </c>
      <c r="D160" s="84">
        <f>IFERROR(IF(OR(NOT(ISNUMBER(Data!L28)),NOT(ISNUMBER(Data!B28)),Data!B28&lt;=0,Data!L28&lt;0),"-",((Data!L28*4)/(Data!B28*4))^(1/10)-1),"-")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IFERROR(Data!C57/Data!C27,"-")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IFERROR(Data!C57/(Data!C14/Data!C28),"-")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IFERROR(Data!C57/(Data!C41/Data!C28),"-")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IFERROR(Data!C57/(Data!C53/Data!C28),"-")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IFERROR((Data!C57*Data!C28+Data!C36+Data!C42)/Data!C20,"-")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IFERROR((Data!C57*Data!C28+Data!C36+Data!C42)/Data!C22,"-")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IFERROR(IF(AND(ISNUMBER(Metrics!B198),ISNUMBER((Data!B28*4))),Metrics!B198/(Data!B28*4),"-"),"-")</f>
        <v/>
      </c>
      <c r="C199" s="276">
        <f>IFERROR(IF(AND(ISNUMBER(Metrics!C198),ISNUMBER((Data!C28*4))),Metrics!C198/(Data!C28*4),"-"),"-")</f>
        <v/>
      </c>
      <c r="D199" s="276">
        <f>IFERROR(IF(AND(ISNUMBER(Metrics!D198),ISNUMBER((Data!D28*4))),Metrics!D198/(Data!D28*4),"-"),"-")</f>
        <v/>
      </c>
      <c r="E199" s="276">
        <f>IFERROR(IF(AND(ISNUMBER(Metrics!E198),ISNUMBER((Data!E28*4))),Metrics!E198/(Data!E28*4),"-"),"-")</f>
        <v/>
      </c>
      <c r="F199" s="276">
        <f>IFERROR(IF(AND(ISNUMBER(Metrics!F198),ISNUMBER((Data!F28*4))),Metrics!F198/(Data!F28*4),"-"),"-")</f>
        <v/>
      </c>
      <c r="G199" s="276">
        <f>IFERROR(IF(AND(ISNUMBER(Metrics!G198),ISNUMBER((Data!G28*4))),Metrics!G198/(Data!G28*4),"-"),"-")</f>
        <v/>
      </c>
      <c r="H199" s="276">
        <f>IFERROR(IF(AND(ISNUMBER(Metrics!H198),ISNUMBER((Data!H28*4))),Metrics!H198/(Data!H28*4),"-"),"-")</f>
        <v/>
      </c>
      <c r="I199" s="276">
        <f>IFERROR(IF(AND(ISNUMBER(Metrics!I198),ISNUMBER((Data!I28*4))),Metrics!I198/(Data!I28*4),"-"),"-")</f>
        <v/>
      </c>
      <c r="J199" s="276">
        <f>IFERROR(IF(AND(ISNUMBER(Metrics!J198),ISNUMBER((Data!J28*4))),Metrics!J198/(Data!J28*4),"-"),"-")</f>
        <v/>
      </c>
      <c r="K199" s="276">
        <f>IFERROR(IF(AND(ISNUMBER(Metrics!K198),ISNUMBER((Data!K28*4))),Metrics!K198/(Data!K28*4),"-"),"-")</f>
        <v/>
      </c>
      <c r="L199" s="276">
        <f>IFERROR(IF(AND(ISNUMBER(Metrics!L198),ISNUMBER((Data!L28*4))),Metrics!L198/(Data!L28*4),"-"),"-")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6" customHeight="1" s="74">
      <c r="A1" s="464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Palo Alto Networks, Inc.</t>
        </is>
      </c>
      <c r="C2" s="279" t="inlineStr">
        <is>
          <t>SentinelOne, Inc.</t>
        </is>
      </c>
      <c r="D2" s="279" t="inlineStr">
        <is>
          <t>Zscaler, Inc.</t>
        </is>
      </c>
      <c r="E2" s="279" t="inlineStr">
        <is>
          <t>Fortinet, Inc.</t>
        </is>
      </c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PANW</t>
        </is>
      </c>
      <c r="C3" s="425" t="inlineStr">
        <is>
          <t>S</t>
        </is>
      </c>
      <c r="D3" s="425" t="inlineStr">
        <is>
          <t>ZS</t>
        </is>
      </c>
      <c r="E3" s="425" t="inlineStr">
        <is>
          <t>FTNT</t>
        </is>
      </c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inlineStr">
        <is>
          <t>US GAAP</t>
        </is>
      </c>
      <c r="E4" s="426" t="inlineStr">
        <is>
          <t>US GAAP</t>
        </is>
      </c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July</t>
        </is>
      </c>
      <c r="C5" s="425" t="inlineStr">
        <is>
          <t>January</t>
        </is>
      </c>
      <c r="D5" s="425" t="inlineStr">
        <is>
          <t>July</t>
        </is>
      </c>
      <c r="E5" s="425" t="inlineStr">
        <is>
          <t>December</t>
        </is>
      </c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inlineStr">
        <is>
          <t>10-K</t>
        </is>
      </c>
      <c r="E6" s="426" t="inlineStr">
        <is>
          <t>10-K</t>
        </is>
      </c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 (Jul)</t>
        </is>
      </c>
      <c r="C7" s="425" t="inlineStr">
        <is>
          <t>FY2026 (Jan)</t>
        </is>
      </c>
      <c r="D7" s="425" t="inlineStr">
        <is>
          <t>FY2025 (Jul)</t>
        </is>
      </c>
      <c r="E7" s="425" t="inlineStr">
        <is>
          <t>FY2025 (Dec)</t>
        </is>
      </c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9221.5</v>
      </c>
      <c r="C10" s="427" t="n">
        <v>1001.3</v>
      </c>
      <c r="D10" s="427" t="n">
        <v>2673.1</v>
      </c>
      <c r="E10" s="427" t="n">
        <v>6799.6</v>
      </c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13.5</v>
      </c>
      <c r="C11" s="428" t="n">
        <v>-32.1</v>
      </c>
      <c r="D11" s="428" t="n">
        <v>-4.8</v>
      </c>
      <c r="E11" s="428" t="n">
        <v>30.7</v>
      </c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17.2</v>
      </c>
      <c r="C12" s="429" t="n">
        <v>-26.6</v>
      </c>
      <c r="D12" s="429" t="n">
        <v>-0.3</v>
      </c>
      <c r="E12" s="429" t="n">
        <v>32.9</v>
      </c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12.3</v>
      </c>
      <c r="C13" s="428" t="n">
        <v>-45</v>
      </c>
      <c r="D13" s="428" t="n">
        <v>-1.6</v>
      </c>
      <c r="E13" s="428" t="n">
        <v>27.3</v>
      </c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73.40000000000001</v>
      </c>
      <c r="C14" s="429" t="n">
        <v>74.09999999999999</v>
      </c>
      <c r="D14" s="429" t="n">
        <v>76.90000000000001</v>
      </c>
      <c r="E14" s="429" t="n">
        <v>80.5</v>
      </c>
      <c r="F14" s="426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37.6</v>
      </c>
      <c r="C15" s="428" t="n">
        <v>5.2</v>
      </c>
      <c r="D15" s="428" t="n">
        <v>27.2</v>
      </c>
      <c r="E15" s="428" t="n">
        <v>32.7</v>
      </c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12.5</v>
      </c>
      <c r="C17" s="429" t="n">
        <v>-17.7</v>
      </c>
      <c r="D17" s="429" t="n">
        <v>-2.9</v>
      </c>
      <c r="E17" s="429" t="n">
        <v>73.7</v>
      </c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17.5</v>
      </c>
      <c r="C18" s="428" t="n">
        <v>-29</v>
      </c>
      <c r="D18" s="428" t="n">
        <v>-2.7</v>
      </c>
      <c r="E18" s="428" t="n">
        <v>135.7</v>
      </c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5.2</v>
      </c>
      <c r="C19" s="429" t="n">
        <v>-18.6</v>
      </c>
      <c r="D19" s="429" t="n">
        <v>-0.7</v>
      </c>
      <c r="E19" s="429" t="n">
        <v>18.4</v>
      </c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0.42</v>
      </c>
      <c r="C20" s="430" t="n">
        <v>0.41</v>
      </c>
      <c r="D20" s="430" t="n">
        <v>0.48</v>
      </c>
      <c r="E20" s="430" t="n">
        <v>0.67</v>
      </c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-1.4</v>
      </c>
      <c r="C22" s="431" t="n"/>
      <c r="D22" s="431" t="n"/>
      <c r="E22" s="431" t="n">
        <v>-0.7</v>
      </c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0</v>
      </c>
      <c r="C23" s="430" t="n">
        <v>0</v>
      </c>
      <c r="D23" s="430" t="n">
        <v>0.95</v>
      </c>
      <c r="E23" s="430" t="n">
        <v>0.8100000000000001</v>
      </c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414.3</v>
      </c>
      <c r="C24" s="429" t="n"/>
      <c r="D24" s="429" t="n"/>
      <c r="E24" s="429" t="n">
        <v>103.7</v>
      </c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0.9399999999999999</v>
      </c>
      <c r="C25" s="430" t="n">
        <v>1.39</v>
      </c>
      <c r="D25" s="430" t="n">
        <v>2.01</v>
      </c>
      <c r="E25" s="430" t="n">
        <v>1.17</v>
      </c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/>
      <c r="C27" s="429" t="n"/>
      <c r="D27" s="429" t="n"/>
      <c r="E27" s="429" t="n"/>
      <c r="F27" s="426" t="n"/>
      <c r="G27" s="284" t="n"/>
      <c r="H27" s="284" t="n"/>
      <c r="I27" s="284" t="n"/>
      <c r="J27" s="284" t="n"/>
      <c r="K27" s="284" t="n"/>
      <c r="L27" s="284" t="n"/>
      <c r="M27" s="309" t="n"/>
    </row>
    <row r="28" ht="17" customHeight="1" s="74">
      <c r="A28" s="259" t="inlineStr">
        <is>
          <t>P / E</t>
        </is>
      </c>
      <c r="B28" s="428" t="n"/>
      <c r="C28" s="428" t="n"/>
      <c r="D28" s="428" t="n"/>
      <c r="E28" s="428" t="n"/>
      <c r="F28" s="425" t="n"/>
      <c r="G28" s="284" t="n"/>
      <c r="H28" s="284" t="n"/>
      <c r="I28" s="284" t="n"/>
      <c r="J28" s="284" t="n"/>
      <c r="K28" s="284" t="n"/>
      <c r="L28" s="284" t="n"/>
      <c r="M28" s="309" t="n"/>
    </row>
    <row r="29" ht="17" customHeight="1" s="74">
      <c r="A29" s="263" t="inlineStr">
        <is>
          <t>FCF Yield</t>
        </is>
      </c>
      <c r="B29" s="429" t="n"/>
      <c r="C29" s="429" t="n"/>
      <c r="D29" s="429" t="n"/>
      <c r="E29" s="429" t="n"/>
      <c r="F29" s="426" t="n"/>
      <c r="G29" s="284" t="n"/>
      <c r="H29" s="284" t="n"/>
      <c r="I29" s="284" t="n"/>
      <c r="J29" s="284" t="n"/>
      <c r="K29" s="284" t="n"/>
      <c r="L29" s="284" t="n"/>
      <c r="M29" s="309" t="n"/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117.4</v>
      </c>
      <c r="C31" s="428" t="n">
        <v>105.4</v>
      </c>
      <c r="D31" s="428" t="n">
        <v>135.5</v>
      </c>
      <c r="E31" s="428" t="n">
        <v>90.8</v>
      </c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/>
      <c r="C32" s="429" t="n"/>
      <c r="D32" s="429" t="n"/>
      <c r="E32" s="429" t="n">
        <v>109.7</v>
      </c>
      <c r="F32" s="426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34.6</v>
      </c>
      <c r="C33" s="428" t="n">
        <v>14.5</v>
      </c>
      <c r="D33" s="428" t="n">
        <v>27.7</v>
      </c>
      <c r="E33" s="428" t="n">
        <v>63.4</v>
      </c>
      <c r="F33" s="425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82.8</v>
      </c>
      <c r="C34" s="429" t="n">
        <v>90.90000000000001</v>
      </c>
      <c r="D34" s="429" t="n">
        <v>107.8</v>
      </c>
      <c r="E34" s="429" t="n">
        <v>137.1</v>
      </c>
      <c r="F34" s="426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2.7</v>
      </c>
      <c r="C35" s="428" t="n">
        <v>2.5</v>
      </c>
      <c r="D35" s="428" t="n">
        <v>9.199999999999999</v>
      </c>
      <c r="E35" s="428" t="n">
        <v>5.4</v>
      </c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482" t="n"/>
      <c r="B36" s="483" t="n"/>
      <c r="C36" s="483" t="n"/>
      <c r="D36" s="483" t="n"/>
      <c r="E36" s="483" t="n"/>
      <c r="F36" s="476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482" t="n"/>
      <c r="B37" s="483" t="n"/>
      <c r="C37" s="483" t="n"/>
      <c r="D37" s="483" t="n"/>
      <c r="E37" s="483" t="n"/>
      <c r="F37" s="476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482" t="n"/>
      <c r="B38" s="483" t="n"/>
      <c r="C38" s="483" t="n"/>
      <c r="D38" s="483" t="n"/>
      <c r="E38" s="483" t="n"/>
      <c r="F38" s="476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482" t="n"/>
      <c r="B39" s="483" t="n"/>
      <c r="C39" s="483" t="n"/>
      <c r="D39" s="483" t="n"/>
      <c r="E39" s="483" t="n"/>
      <c r="F39" s="476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482" t="n"/>
      <c r="B40" s="483" t="n"/>
      <c r="C40" s="483" t="n"/>
      <c r="D40" s="483" t="n"/>
      <c r="E40" s="483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482" t="n"/>
      <c r="B41" s="483" t="n"/>
      <c r="C41" s="483" t="n"/>
      <c r="D41" s="483" t="n"/>
      <c r="E41" s="483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482" t="n"/>
      <c r="B42" s="483" t="n"/>
      <c r="C42" s="483" t="n"/>
      <c r="D42" s="483" t="n"/>
      <c r="E42" s="483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482" t="n"/>
      <c r="B43" s="483" t="n"/>
      <c r="C43" s="483" t="n"/>
      <c r="D43" s="483" t="n"/>
      <c r="E43" s="483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482" t="n"/>
      <c r="B44" s="483" t="n"/>
      <c r="C44" s="483" t="n"/>
      <c r="D44" s="483" t="n"/>
      <c r="E44" s="483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482" t="n"/>
      <c r="B45" s="483" t="n"/>
      <c r="C45" s="483" t="n"/>
      <c r="D45" s="483" t="n"/>
      <c r="E45" s="483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482" t="n"/>
      <c r="B46" s="483" t="n"/>
      <c r="C46" s="483" t="n"/>
      <c r="D46" s="483" t="n"/>
      <c r="E46" s="483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482" t="n"/>
      <c r="B47" s="483" t="n"/>
      <c r="C47" s="483" t="n"/>
      <c r="D47" s="483" t="n"/>
      <c r="E47" s="483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482" t="n"/>
      <c r="B48" s="483" t="n"/>
      <c r="C48" s="483" t="n"/>
      <c r="D48" s="483" t="n"/>
      <c r="E48" s="483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73" t="n"/>
      <c r="C49" s="473" t="n"/>
      <c r="D49" s="473" t="n"/>
      <c r="E49" s="473" t="n"/>
    </row>
    <row r="50" ht="17" customHeight="1" s="74">
      <c r="A50" s="310" t="inlineStr">
        <is>
          <t>Revenue</t>
        </is>
      </c>
      <c r="B50" s="311" t="inlineStr">
        <is>
          <t>PERIOD_LAG_6M</t>
        </is>
      </c>
      <c r="C50" s="311" t="inlineStr">
        <is>
          <t>OK_ALIGNED</t>
        </is>
      </c>
      <c r="D50" s="311" t="inlineStr">
        <is>
          <t>PERIOD_LAG_6M</t>
        </is>
      </c>
      <c r="E50" s="311" t="inlineStr">
        <is>
          <t>PERIOD_LAG_1M</t>
        </is>
      </c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OK</t>
        </is>
      </c>
      <c r="C51" s="311" t="inlineStr">
        <is>
          <t>OK</t>
        </is>
      </c>
      <c r="D51" s="311" t="inlineStr">
        <is>
          <t>OK</t>
        </is>
      </c>
      <c r="E51" s="311" t="inlineStr">
        <is>
          <t>OK</t>
        </is>
      </c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311" t="inlineStr">
        <is>
          <t>COMPUTED</t>
        </is>
      </c>
      <c r="C52" s="311" t="inlineStr">
        <is>
          <t>COMPUTED</t>
        </is>
      </c>
      <c r="D52" s="311" t="inlineStr">
        <is>
          <t>COMPUTED</t>
        </is>
      </c>
      <c r="E52" s="311" t="inlineStr">
        <is>
          <t>COMPUTED</t>
        </is>
      </c>
      <c r="F52" s="200" t="n"/>
      <c r="G52" s="200" t="n"/>
      <c r="H52" s="200" t="n"/>
      <c r="I52" s="200" t="n"/>
      <c r="J52" s="200" t="n"/>
      <c r="K52" s="200" t="n"/>
      <c r="L52" s="200" t="n"/>
      <c r="M52" s="308" t="inlineStr">
        <is>
          <t xml:space="preserve">market-researcher | peer-researcher | as-of: </t>
        </is>
      </c>
    </row>
    <row r="53" ht="17" customHeight="1" s="74">
      <c r="A53" s="310" t="inlineStr">
        <is>
          <t>Net Margin</t>
        </is>
      </c>
      <c r="B53" s="485" t="n"/>
      <c r="C53" s="485" t="n"/>
      <c r="D53" s="485" t="n"/>
      <c r="E53" s="485" t="n"/>
      <c r="F53" s="200" t="n"/>
      <c r="G53" s="200" t="n"/>
      <c r="H53" s="200" t="n"/>
      <c r="I53" s="200" t="n"/>
      <c r="J53" s="200" t="n"/>
      <c r="K53" s="200" t="n"/>
      <c r="L53" s="200" t="n"/>
      <c r="M53" s="308" t="n"/>
    </row>
    <row r="54" ht="17" customHeight="1" s="74">
      <c r="A54" s="310" t="inlineStr">
        <is>
          <t>Gross Margin</t>
        </is>
      </c>
      <c r="B54" s="485" t="n"/>
      <c r="C54" s="485" t="n"/>
      <c r="D54" s="485" t="n"/>
      <c r="E54" s="485" t="n"/>
      <c r="F54" s="200" t="n"/>
      <c r="G54" s="200" t="n"/>
      <c r="H54" s="200" t="n"/>
      <c r="I54" s="200" t="n"/>
      <c r="J54" s="200" t="n"/>
      <c r="K54" s="200" t="n"/>
      <c r="L54" s="200" t="n"/>
      <c r="M54" s="308" t="n"/>
    </row>
    <row r="55" ht="17" customHeight="1" s="74">
      <c r="A55" s="310" t="inlineStr">
        <is>
          <t>FCF Margin</t>
        </is>
      </c>
      <c r="B55" s="485" t="n"/>
      <c r="C55" s="485" t="n"/>
      <c r="D55" s="485" t="n"/>
      <c r="E55" s="485" t="n"/>
      <c r="F55" s="200" t="n"/>
      <c r="G55" s="200" t="n"/>
      <c r="H55" s="200" t="n"/>
      <c r="I55" s="200" t="n"/>
      <c r="J55" s="200" t="n"/>
      <c r="K55" s="200" t="n"/>
      <c r="L55" s="200" t="n"/>
      <c r="M55" s="308" t="n"/>
    </row>
    <row r="56" ht="17" customHeight="1" s="74">
      <c r="A56" s="310" t="inlineStr">
        <is>
          <t>ROIC</t>
        </is>
      </c>
      <c r="B56" s="311" t="inlineStr">
        <is>
          <t>COMPUTED</t>
        </is>
      </c>
      <c r="C56" s="311" t="inlineStr">
        <is>
          <t>COMPUTED</t>
        </is>
      </c>
      <c r="D56" s="311" t="inlineStr">
        <is>
          <t>COMPUTED</t>
        </is>
      </c>
      <c r="E56" s="311" t="inlineStr">
        <is>
          <t>COMPUTED_GENUINE_EXTREME</t>
        </is>
      </c>
      <c r="F56" s="200" t="n"/>
      <c r="G56" s="200" t="n"/>
      <c r="H56" s="200" t="n"/>
      <c r="I56" s="200" t="n"/>
      <c r="J56" s="200" t="n"/>
      <c r="K56" s="200" t="n"/>
      <c r="L56" s="200" t="n"/>
      <c r="M56" s="308" t="inlineStr">
        <is>
          <t xml:space="preserve">market-researcher | peer-researcher | as-of: </t>
        </is>
      </c>
    </row>
    <row r="57" ht="17" customHeight="1" s="74">
      <c r="A57" s="310" t="inlineStr">
        <is>
          <t>ROE</t>
        </is>
      </c>
      <c r="B57" s="485" t="n"/>
      <c r="C57" s="485" t="n"/>
      <c r="D57" s="485" t="n"/>
      <c r="E57" s="485" t="n"/>
      <c r="F57" s="200" t="n"/>
      <c r="G57" s="200" t="n"/>
      <c r="H57" s="200" t="n"/>
      <c r="I57" s="200" t="n"/>
      <c r="J57" s="200" t="n"/>
      <c r="K57" s="200" t="n"/>
      <c r="L57" s="200" t="n"/>
      <c r="M57" s="308" t="n"/>
    </row>
    <row r="58" ht="17" customHeight="1" s="74">
      <c r="A58" s="310" t="inlineStr">
        <is>
          <t>ROA</t>
        </is>
      </c>
      <c r="B58" s="485" t="n"/>
      <c r="C58" s="485" t="n"/>
      <c r="D58" s="485" t="n"/>
      <c r="E58" s="485" t="n"/>
      <c r="F58" s="200" t="n"/>
      <c r="G58" s="200" t="n"/>
      <c r="H58" s="200" t="n"/>
      <c r="I58" s="200" t="n"/>
      <c r="J58" s="200" t="n"/>
      <c r="K58" s="200" t="n"/>
      <c r="L58" s="200" t="n"/>
      <c r="M58" s="308" t="n"/>
    </row>
    <row r="59" ht="17" customHeight="1" s="74">
      <c r="A59" s="310" t="inlineStr">
        <is>
          <t>Asset Turnover</t>
        </is>
      </c>
      <c r="B59" s="485" t="n"/>
      <c r="C59" s="485" t="n"/>
      <c r="D59" s="485" t="n"/>
      <c r="E59" s="485" t="n"/>
      <c r="F59" s="200" t="n"/>
      <c r="G59" s="200" t="n"/>
      <c r="H59" s="200" t="n"/>
      <c r="I59" s="200" t="n"/>
      <c r="J59" s="200" t="n"/>
      <c r="K59" s="200" t="n"/>
      <c r="L59" s="200" t="n"/>
      <c r="M59" s="308" t="n"/>
    </row>
    <row r="60" ht="17" customHeight="1" s="74">
      <c r="A60" s="310" t="inlineStr">
        <is>
          <t>Net Debt / EBITDA</t>
        </is>
      </c>
      <c r="B60" s="311" t="inlineStr">
        <is>
          <t>OK</t>
        </is>
      </c>
      <c r="C60" s="311" t="inlineStr">
        <is>
          <t>NM_NEGATIVE_EBITDA</t>
        </is>
      </c>
      <c r="D60" s="311" t="inlineStr">
        <is>
          <t>NM_NEGATIVE_EBITDA</t>
        </is>
      </c>
      <c r="E60" s="311" t="inlineStr">
        <is>
          <t>OK</t>
        </is>
      </c>
      <c r="F60" s="200" t="n"/>
      <c r="G60" s="200" t="n"/>
      <c r="H60" s="200" t="n"/>
      <c r="I60" s="200" t="n"/>
      <c r="J60" s="200" t="n"/>
      <c r="K60" s="200" t="n"/>
      <c r="L60" s="200" t="n"/>
      <c r="M60" s="308" t="inlineStr">
        <is>
          <t xml:space="preserve">market-researcher | peer-researcher | as-of: </t>
        </is>
      </c>
    </row>
    <row r="61" ht="17" customHeight="1" s="74">
      <c r="A61" s="310" t="inlineStr">
        <is>
          <t>EV / EBITDA</t>
        </is>
      </c>
      <c r="B61" s="311" t="inlineStr">
        <is>
          <t>MARKET_SOURCED_UNAVAILABLE</t>
        </is>
      </c>
      <c r="C61" s="311" t="inlineStr">
        <is>
          <t>MARKET_SOURCED_UNAVAILABLE</t>
        </is>
      </c>
      <c r="D61" s="311" t="inlineStr">
        <is>
          <t>MARKET_SOURCED_UNAVAILABLE</t>
        </is>
      </c>
      <c r="E61" s="311" t="inlineStr">
        <is>
          <t>MARKET_SOURCED_UNAVAILABLE</t>
        </is>
      </c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485" t="n"/>
      <c r="C62" s="485" t="n"/>
      <c r="D62" s="485" t="n"/>
      <c r="E62" s="485" t="n"/>
      <c r="F62" s="200" t="n"/>
      <c r="G62" s="200" t="n"/>
      <c r="H62" s="200" t="n"/>
      <c r="I62" s="200" t="n"/>
      <c r="J62" s="200" t="n"/>
      <c r="K62" s="200" t="n"/>
      <c r="L62" s="200" t="n"/>
      <c r="M62" s="308" t="n"/>
    </row>
  </sheetData>
  <mergeCells count="6">
    <mergeCell ref="A16:F16"/>
    <mergeCell ref="A1:F1"/>
    <mergeCell ref="A8:F8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2">
      <c r="A2" s="308" t="inlineStr">
        <is>
          <t>Month</t>
        </is>
      </c>
      <c r="B2" s="308" t="inlineStr">
        <is>
          <t>CRWD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31.4325</v>
      </c>
      <c r="C3" s="308" t="n">
        <v>321.5860184424</v>
      </c>
    </row>
    <row r="4">
      <c r="A4" s="308" t="inlineStr">
        <is>
          <t>2020-09</t>
        </is>
      </c>
      <c r="B4" s="308" t="n">
        <v>34.33</v>
      </c>
      <c r="C4" s="308" t="n">
        <v>309.5592456058</v>
      </c>
    </row>
    <row r="5">
      <c r="A5" s="308" t="inlineStr">
        <is>
          <t>2020-10</t>
        </is>
      </c>
      <c r="B5" s="308" t="n">
        <v>30.96</v>
      </c>
      <c r="C5" s="308" t="n">
        <v>301.8408314973</v>
      </c>
    </row>
    <row r="6">
      <c r="A6" s="308" t="inlineStr">
        <is>
          <t>2020-11</t>
        </is>
      </c>
      <c r="B6" s="308" t="n">
        <v>38.32</v>
      </c>
      <c r="C6" s="308" t="n">
        <v>334.6741331902</v>
      </c>
    </row>
    <row r="7">
      <c r="A7" s="308" t="inlineStr">
        <is>
          <t>2020-12</t>
        </is>
      </c>
      <c r="B7" s="308" t="n">
        <v>52.955</v>
      </c>
      <c r="C7" s="308" t="n">
        <v>347.0791635841</v>
      </c>
    </row>
    <row r="8">
      <c r="A8" s="308" t="inlineStr">
        <is>
          <t>2021-01</t>
        </is>
      </c>
      <c r="B8" s="308" t="n">
        <v>53.95</v>
      </c>
      <c r="C8" s="308" t="n">
        <v>343.5422757772</v>
      </c>
    </row>
    <row r="9">
      <c r="A9" s="308" t="inlineStr">
        <is>
          <t>2021-02</t>
        </is>
      </c>
      <c r="B9" s="308" t="n">
        <v>54</v>
      </c>
      <c r="C9" s="308" t="n">
        <v>353.0946578069</v>
      </c>
    </row>
    <row r="10">
      <c r="A10" s="308" t="inlineStr">
        <is>
          <t>2021-03</t>
        </is>
      </c>
      <c r="B10" s="308" t="n">
        <v>45.6275</v>
      </c>
      <c r="C10" s="308" t="n">
        <v>369.1269350071</v>
      </c>
    </row>
    <row r="11">
      <c r="A11" s="308" t="inlineStr">
        <is>
          <t>2021-04</t>
        </is>
      </c>
      <c r="B11" s="308" t="n">
        <v>52.1275</v>
      </c>
      <c r="C11" s="308" t="n">
        <v>388.6576085041</v>
      </c>
    </row>
    <row r="12">
      <c r="A12" s="308" t="inlineStr">
        <is>
          <t>2021-05</t>
        </is>
      </c>
      <c r="B12" s="308" t="n">
        <v>55.5375</v>
      </c>
      <c r="C12" s="308" t="n">
        <v>391.2095419988</v>
      </c>
    </row>
    <row r="13">
      <c r="A13" s="308" t="inlineStr">
        <is>
          <t>2021-06</t>
        </is>
      </c>
      <c r="B13" s="308" t="n">
        <v>62.8275</v>
      </c>
      <c r="C13" s="308" t="n">
        <v>400.0010900298</v>
      </c>
    </row>
    <row r="14">
      <c r="A14" s="308" t="inlineStr">
        <is>
          <t>2021-07</t>
        </is>
      </c>
      <c r="B14" s="308" t="n">
        <v>63.4025</v>
      </c>
      <c r="C14" s="308" t="n">
        <v>409.766102857</v>
      </c>
    </row>
    <row r="15">
      <c r="A15" s="308" t="inlineStr">
        <is>
          <t>2021-08</t>
        </is>
      </c>
      <c r="B15" s="308" t="n">
        <v>70.25</v>
      </c>
      <c r="C15" s="308" t="n">
        <v>421.9606882536</v>
      </c>
    </row>
    <row r="16">
      <c r="A16" s="308" t="inlineStr">
        <is>
          <t>2021-09</t>
        </is>
      </c>
      <c r="B16" s="308" t="n">
        <v>61.445</v>
      </c>
      <c r="C16" s="308" t="n">
        <v>402.3077362055</v>
      </c>
    </row>
    <row r="17">
      <c r="A17" s="308" t="inlineStr">
        <is>
          <t>2021-10</t>
        </is>
      </c>
      <c r="B17" s="308" t="n">
        <v>70.45</v>
      </c>
      <c r="C17" s="308" t="n">
        <v>430.5350884382</v>
      </c>
    </row>
    <row r="18">
      <c r="A18" s="308" t="inlineStr">
        <is>
          <t>2021-11</t>
        </is>
      </c>
      <c r="B18" s="308" t="n">
        <v>54.285</v>
      </c>
      <c r="C18" s="308" t="n">
        <v>427.0758081414</v>
      </c>
    </row>
    <row r="19">
      <c r="A19" s="308" t="inlineStr">
        <is>
          <t>2021-12</t>
        </is>
      </c>
      <c r="B19" s="308" t="n">
        <v>51.1875</v>
      </c>
      <c r="C19" s="308" t="n">
        <v>446.8444096561</v>
      </c>
    </row>
    <row r="20">
      <c r="A20" s="308" t="inlineStr">
        <is>
          <t>2022-01</t>
        </is>
      </c>
      <c r="B20" s="308" t="n">
        <v>45.16</v>
      </c>
      <c r="C20" s="308" t="n">
        <v>423.2772619766</v>
      </c>
    </row>
    <row r="21">
      <c r="A21" s="308" t="inlineStr">
        <is>
          <t>2022-02</t>
        </is>
      </c>
      <c r="B21" s="308" t="n">
        <v>48.8025</v>
      </c>
      <c r="C21" s="308" t="n">
        <v>410.7833808913</v>
      </c>
    </row>
    <row r="22">
      <c r="A22" s="308" t="inlineStr">
        <is>
          <t>2022-03</t>
        </is>
      </c>
      <c r="B22" s="308" t="n">
        <v>56.77</v>
      </c>
      <c r="C22" s="308" t="n">
        <v>426.21058511</v>
      </c>
    </row>
    <row r="23">
      <c r="A23" s="308" t="inlineStr">
        <is>
          <t>2022-04</t>
        </is>
      </c>
      <c r="B23" s="308" t="n">
        <v>49.69</v>
      </c>
      <c r="C23" s="308" t="n">
        <v>388.8024999232</v>
      </c>
    </row>
    <row r="24">
      <c r="A24" s="308" t="inlineStr">
        <is>
          <t>2022-05</t>
        </is>
      </c>
      <c r="B24" s="308" t="n">
        <v>39.9975</v>
      </c>
      <c r="C24" s="308" t="n">
        <v>389.6801366342</v>
      </c>
    </row>
    <row r="25">
      <c r="A25" s="308" t="inlineStr">
        <is>
          <t>2022-06</t>
        </is>
      </c>
      <c r="B25" s="308" t="n">
        <v>42.14</v>
      </c>
      <c r="C25" s="308" t="n">
        <v>357.543498354</v>
      </c>
    </row>
    <row r="26">
      <c r="A26" s="308" t="inlineStr">
        <is>
          <t>2022-07</t>
        </is>
      </c>
      <c r="B26" s="308" t="n">
        <v>45.9</v>
      </c>
      <c r="C26" s="308" t="n">
        <v>390.4687763734</v>
      </c>
    </row>
    <row r="27">
      <c r="A27" s="308" t="inlineStr">
        <is>
          <t>2022-08</t>
        </is>
      </c>
      <c r="B27" s="308" t="n">
        <v>45.6525</v>
      </c>
      <c r="C27" s="308" t="n">
        <v>374.536884505</v>
      </c>
    </row>
    <row r="28">
      <c r="A28" s="308" t="inlineStr">
        <is>
          <t>2022-09</t>
        </is>
      </c>
      <c r="B28" s="308" t="n">
        <v>41.2025</v>
      </c>
      <c r="C28" s="308" t="n">
        <v>339.9235382673</v>
      </c>
    </row>
    <row r="29">
      <c r="A29" s="308" t="inlineStr">
        <is>
          <t>2022-10</t>
        </is>
      </c>
      <c r="B29" s="308" t="n">
        <v>40.3</v>
      </c>
      <c r="C29" s="308" t="n">
        <v>367.5510098947</v>
      </c>
    </row>
    <row r="30">
      <c r="A30" s="308" t="inlineStr">
        <is>
          <t>2022-11</t>
        </is>
      </c>
      <c r="B30" s="308" t="n">
        <v>29.4125</v>
      </c>
      <c r="C30" s="308" t="n">
        <v>387.9837283185</v>
      </c>
    </row>
    <row r="31">
      <c r="A31" s="308" t="inlineStr">
        <is>
          <t>2022-12</t>
        </is>
      </c>
      <c r="B31" s="308" t="n">
        <v>26.3225</v>
      </c>
      <c r="C31" s="308" t="n">
        <v>365.645252784</v>
      </c>
    </row>
    <row r="32">
      <c r="A32" s="308" t="inlineStr">
        <is>
          <t>2023-01</t>
        </is>
      </c>
      <c r="B32" s="308" t="n">
        <v>26.475</v>
      </c>
      <c r="C32" s="308" t="n">
        <v>388.6397049176</v>
      </c>
    </row>
    <row r="33">
      <c r="A33" s="308" t="inlineStr">
        <is>
          <t>2023-02</t>
        </is>
      </c>
      <c r="B33" s="308" t="n">
        <v>30.1725</v>
      </c>
      <c r="C33" s="308" t="n">
        <v>378.8682578986</v>
      </c>
    </row>
    <row r="34">
      <c r="A34" s="308" t="inlineStr">
        <is>
          <t>2023-03</t>
        </is>
      </c>
      <c r="B34" s="308" t="n">
        <v>34.315</v>
      </c>
      <c r="C34" s="308" t="n">
        <v>392.9337203794</v>
      </c>
    </row>
    <row r="35">
      <c r="A35" s="308" t="inlineStr">
        <is>
          <t>2023-04</t>
        </is>
      </c>
      <c r="B35" s="308" t="n">
        <v>30.0125</v>
      </c>
      <c r="C35" s="308" t="n">
        <v>399.2108315235</v>
      </c>
    </row>
    <row r="36">
      <c r="A36" s="308" t="inlineStr">
        <is>
          <t>2023-05</t>
        </is>
      </c>
      <c r="B36" s="308" t="n">
        <v>40.0325</v>
      </c>
      <c r="C36" s="308" t="n">
        <v>401.0536531438</v>
      </c>
    </row>
    <row r="37">
      <c r="A37" s="308" t="inlineStr">
        <is>
          <t>2023-06</t>
        </is>
      </c>
      <c r="B37" s="308" t="n">
        <v>36.7175</v>
      </c>
      <c r="C37" s="308" t="n">
        <v>427.0476200424</v>
      </c>
    </row>
    <row r="38">
      <c r="A38" s="308" t="inlineStr">
        <is>
          <t>2023-07</t>
        </is>
      </c>
      <c r="B38" s="308" t="n">
        <v>40.415</v>
      </c>
      <c r="C38" s="308" t="n">
        <v>441.0262813103</v>
      </c>
    </row>
    <row r="39">
      <c r="A39" s="308" t="inlineStr">
        <is>
          <t>2023-08</t>
        </is>
      </c>
      <c r="B39" s="308" t="n">
        <v>40.7575</v>
      </c>
      <c r="C39" s="308" t="n">
        <v>433.8587251536</v>
      </c>
    </row>
    <row r="40">
      <c r="A40" s="308" t="inlineStr">
        <is>
          <t>2023-09</t>
        </is>
      </c>
      <c r="B40" s="308" t="n">
        <v>41.845</v>
      </c>
      <c r="C40" s="308" t="n">
        <v>413.2967305907</v>
      </c>
    </row>
    <row r="41">
      <c r="A41" s="308" t="inlineStr">
        <is>
          <t>2023-10</t>
        </is>
      </c>
      <c r="B41" s="308" t="n">
        <v>44.1925</v>
      </c>
      <c r="C41" s="308" t="n">
        <v>404.3246297675</v>
      </c>
    </row>
    <row r="42">
      <c r="A42" s="308" t="inlineStr">
        <is>
          <t>2023-11</t>
        </is>
      </c>
      <c r="B42" s="308" t="n">
        <v>59.2475</v>
      </c>
      <c r="C42" s="308" t="n">
        <v>441.2571999663</v>
      </c>
    </row>
    <row r="43">
      <c r="A43" s="308" t="inlineStr">
        <is>
          <t>2023-12</t>
        </is>
      </c>
      <c r="B43" s="308" t="n">
        <v>63.83</v>
      </c>
      <c r="C43" s="308" t="n">
        <v>461.4061014052</v>
      </c>
    </row>
    <row r="44">
      <c r="A44" s="308" t="inlineStr">
        <is>
          <t>2024-01</t>
        </is>
      </c>
      <c r="B44" s="308" t="n">
        <v>73.125</v>
      </c>
      <c r="C44" s="308" t="n">
        <v>468.7546616872</v>
      </c>
    </row>
    <row r="45">
      <c r="A45" s="308" t="inlineStr">
        <is>
          <t>2024-02</t>
        </is>
      </c>
      <c r="B45" s="308" t="n">
        <v>81.03749999999999</v>
      </c>
      <c r="C45" s="308" t="n">
        <v>493.2175043697</v>
      </c>
    </row>
    <row r="46">
      <c r="A46" s="308" t="inlineStr">
        <is>
          <t>2024-03</t>
        </is>
      </c>
      <c r="B46" s="308" t="n">
        <v>80.14749999999999</v>
      </c>
      <c r="C46" s="308" t="n">
        <v>509.3575022438</v>
      </c>
    </row>
    <row r="47">
      <c r="A47" s="308" t="inlineStr">
        <is>
          <t>2024-04</t>
        </is>
      </c>
      <c r="B47" s="308" t="n">
        <v>73.13500000000001</v>
      </c>
      <c r="C47" s="308" t="n">
        <v>488.8203853716</v>
      </c>
    </row>
    <row r="48">
      <c r="A48" s="308" t="inlineStr">
        <is>
          <t>2024-05</t>
        </is>
      </c>
      <c r="B48" s="308" t="n">
        <v>78.4175</v>
      </c>
      <c r="C48" s="308" t="n">
        <v>513.5447759541</v>
      </c>
    </row>
    <row r="49">
      <c r="A49" s="308" t="inlineStr">
        <is>
          <t>2024-06</t>
        </is>
      </c>
      <c r="B49" s="308" t="n">
        <v>95.7975</v>
      </c>
      <c r="C49" s="308" t="n">
        <v>531.6650443674999</v>
      </c>
    </row>
    <row r="50">
      <c r="A50" s="308" t="inlineStr">
        <is>
          <t>2024-07</t>
        </is>
      </c>
      <c r="B50" s="308" t="n">
        <v>57.99</v>
      </c>
      <c r="C50" s="308" t="n">
        <v>538.1030154865</v>
      </c>
    </row>
    <row r="51">
      <c r="A51" s="308" t="inlineStr">
        <is>
          <t>2024-08</t>
        </is>
      </c>
      <c r="B51" s="308" t="n">
        <v>69.31999999999999</v>
      </c>
      <c r="C51" s="308" t="n">
        <v>550.6761093107</v>
      </c>
    </row>
    <row r="52">
      <c r="A52" s="308" t="inlineStr">
        <is>
          <t>2024-09</t>
        </is>
      </c>
      <c r="B52" s="308" t="n">
        <v>70.11750000000001</v>
      </c>
      <c r="C52" s="308" t="n">
        <v>562.2453646183</v>
      </c>
    </row>
    <row r="53">
      <c r="A53" s="308" t="inlineStr">
        <is>
          <t>2024-10</t>
        </is>
      </c>
      <c r="B53" s="308" t="n">
        <v>74.2175</v>
      </c>
      <c r="C53" s="308" t="n">
        <v>557.2281165235</v>
      </c>
    </row>
    <row r="54">
      <c r="A54" s="308" t="inlineStr">
        <is>
          <t>2024-11</t>
        </is>
      </c>
      <c r="B54" s="308" t="n">
        <v>86.49250000000001</v>
      </c>
      <c r="C54" s="308" t="n">
        <v>590.4575858386</v>
      </c>
    </row>
    <row r="55">
      <c r="A55" s="308" t="inlineStr">
        <is>
          <t>2024-12</t>
        </is>
      </c>
      <c r="B55" s="308" t="n">
        <v>85.54000000000001</v>
      </c>
      <c r="C55" s="308" t="n">
        <v>576.2277005713</v>
      </c>
    </row>
    <row r="56">
      <c r="A56" s="308" t="inlineStr">
        <is>
          <t>2025-01</t>
        </is>
      </c>
      <c r="B56" s="308" t="n">
        <v>99.5175</v>
      </c>
      <c r="C56" s="308" t="n">
        <v>591.7031032586</v>
      </c>
    </row>
    <row r="57">
      <c r="A57" s="308" t="inlineStr">
        <is>
          <t>2025-02</t>
        </is>
      </c>
      <c r="B57" s="308" t="n">
        <v>97.41500000000001</v>
      </c>
      <c r="C57" s="308" t="n">
        <v>584.1915354993</v>
      </c>
    </row>
    <row r="58">
      <c r="A58" s="308" t="inlineStr">
        <is>
          <t>2025-03</t>
        </is>
      </c>
      <c r="B58" s="308" t="n">
        <v>88.145</v>
      </c>
      <c r="C58" s="308" t="n">
        <v>551.6398309809</v>
      </c>
    </row>
    <row r="59">
      <c r="A59" s="308" t="inlineStr">
        <is>
          <t>2025-04</t>
        </is>
      </c>
      <c r="B59" s="308" t="n">
        <v>107.2175</v>
      </c>
      <c r="C59" s="308" t="n">
        <v>546.8570261752</v>
      </c>
    </row>
    <row r="60">
      <c r="A60" s="308" t="inlineStr">
        <is>
          <t>2025-05</t>
        </is>
      </c>
      <c r="B60" s="308" t="n">
        <v>117.8425</v>
      </c>
      <c r="C60" s="308" t="n">
        <v>581.2241906037</v>
      </c>
    </row>
    <row r="61">
      <c r="A61" s="308" t="inlineStr">
        <is>
          <t>2025-06</t>
        </is>
      </c>
      <c r="B61" s="308" t="n">
        <v>127.3275</v>
      </c>
      <c r="C61" s="308" t="n">
        <v>611.0954844284</v>
      </c>
    </row>
    <row r="62">
      <c r="A62" s="308" t="inlineStr">
        <is>
          <t>2025-07</t>
        </is>
      </c>
      <c r="B62" s="308" t="n">
        <v>113.6425</v>
      </c>
      <c r="C62" s="308" t="n">
        <v>625.1699179372</v>
      </c>
    </row>
    <row r="63">
      <c r="A63" s="308" t="inlineStr">
        <is>
          <t>2025-08</t>
        </is>
      </c>
      <c r="B63" s="308" t="n">
        <v>105.925</v>
      </c>
      <c r="C63" s="308" t="n">
        <v>637.9981261317999</v>
      </c>
    </row>
    <row r="64">
      <c r="A64" s="308" t="inlineStr">
        <is>
          <t>2025-09</t>
        </is>
      </c>
      <c r="B64" s="308" t="n">
        <v>122.595</v>
      </c>
      <c r="C64" s="308" t="n">
        <v>660.7149899586</v>
      </c>
    </row>
    <row r="65">
      <c r="A65" s="308" t="inlineStr">
        <is>
          <t>2025-10</t>
        </is>
      </c>
      <c r="B65" s="308" t="n">
        <v>135.7525</v>
      </c>
      <c r="C65" s="308" t="n">
        <v>676.4647183211</v>
      </c>
    </row>
    <row r="66">
      <c r="A66" s="308" t="inlineStr">
        <is>
          <t>2025-11</t>
        </is>
      </c>
      <c r="B66" s="308" t="n">
        <v>127.29</v>
      </c>
      <c r="C66" s="308" t="n">
        <v>677.7838076613</v>
      </c>
    </row>
    <row r="67">
      <c r="A67" s="308" t="inlineStr">
        <is>
          <t>2025-12</t>
        </is>
      </c>
      <c r="B67" s="308" t="n">
        <v>117.19</v>
      </c>
      <c r="C67" s="308" t="n">
        <v>678.3067456674</v>
      </c>
    </row>
    <row r="68">
      <c r="A68" s="308" t="inlineStr">
        <is>
          <t>2026-01</t>
        </is>
      </c>
      <c r="B68" s="308" t="n">
        <v>110.35125</v>
      </c>
      <c r="C68" s="308" t="n">
        <v>688.3034942507001</v>
      </c>
    </row>
    <row r="69">
      <c r="A69" s="308" t="inlineStr">
        <is>
          <t>2026-02</t>
        </is>
      </c>
      <c r="B69" s="308" t="n">
        <v>92.995</v>
      </c>
      <c r="C69" s="308" t="n">
        <v>682.3551801683</v>
      </c>
    </row>
    <row r="70">
      <c r="A70" s="308" t="inlineStr">
        <is>
          <t>2026-03</t>
        </is>
      </c>
      <c r="B70" s="308" t="n">
        <v>97.60250000000001</v>
      </c>
      <c r="C70" s="308" t="n">
        <v>648.6864324889</v>
      </c>
    </row>
    <row r="71">
      <c r="A71" s="308" t="inlineStr">
        <is>
          <t>2026-04</t>
        </is>
      </c>
      <c r="B71" s="308" t="n">
        <v>111.4375</v>
      </c>
      <c r="C71" s="308" t="n">
        <v>716.8327206883999</v>
      </c>
    </row>
    <row r="72">
      <c r="A72" s="308" t="inlineStr">
        <is>
          <t>2026-05</t>
        </is>
      </c>
      <c r="B72" s="308" t="n">
        <v>182.75</v>
      </c>
      <c r="C72" s="308" t="n">
        <v>754.5565587988</v>
      </c>
    </row>
    <row r="73">
      <c r="A73" s="308" t="inlineStr">
        <is>
          <t>2026-06</t>
        </is>
      </c>
      <c r="B73" s="308" t="n">
        <v>190.785</v>
      </c>
      <c r="C73" s="308" t="n">
        <v>746.77</v>
      </c>
    </row>
    <row r="74">
      <c r="A74" s="308" t="inlineStr">
        <is>
          <t>2026-07</t>
        </is>
      </c>
      <c r="B74" s="308" t="n">
        <v>190.86</v>
      </c>
      <c r="C74" s="308" t="n">
        <v>747.03</v>
      </c>
    </row>
    <row r="75">
      <c r="A75" s="308" t="inlineStr">
        <is>
          <t>2026-08</t>
        </is>
      </c>
      <c r="B75" s="308" t="n">
        <v>214.42</v>
      </c>
      <c r="C75" s="308" t="n">
        <v>773.26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D3:L3"/>
  <sheetViews>
    <sheetView showGridLines="1" zoomScale="100" workbookViewId="0">
      <selection activeCell="A1" sqref="A1"/>
    </sheetView>
  </sheetViews>
  <sheetFormatPr baseColWidth="8" defaultRowHeight="15"/>
  <sheetData>
    <row r="3">
      <c r="D3" s="453">
        <f>AVERAGE(Metrics!$D$6:$L$6)</f>
        <v/>
      </c>
      <c r="E3" s="453">
        <f>AVERAGE(Metrics!$D$6:$L$6)</f>
        <v/>
      </c>
      <c r="F3" s="453">
        <f>AVERAGE(Metrics!$D$6:$L$6)</f>
        <v/>
      </c>
      <c r="G3" s="453">
        <f>AVERAGE(Metrics!$D$6:$L$6)</f>
        <v/>
      </c>
      <c r="H3" s="453">
        <f>AVERAGE(Metrics!$D$6:$L$6)</f>
        <v/>
      </c>
      <c r="I3" s="453">
        <f>AVERAGE(Metrics!$D$6:$L$6)</f>
        <v/>
      </c>
      <c r="J3" s="453">
        <f>AVERAGE(Metrics!$D$6:$L$6)</f>
        <v/>
      </c>
      <c r="K3" s="453">
        <f>AVERAGE(Metrics!$D$6:$L$6)</f>
        <v/>
      </c>
      <c r="L3" s="453">
        <f>AVERAGE(Metrics!$D$6:$L$6)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2026-09-24T11:43:45Z</dcterms:modified>
  <cp:lastModifiedBy>Francesco Laconi</cp:lastModifiedBy>
  <cp:revision>16</cp:revision>
</cp:coreProperties>
</file>