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8000" tabRatio="500" firstSheet="0" activeTab="3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Data" sheetId="2" state="visible" r:id="rId2"/>
    <sheet xmlns:r="http://schemas.openxmlformats.org/officeDocument/2006/relationships" name="Valuation" sheetId="3" state="visible" r:id="rId3"/>
    <sheet xmlns:r="http://schemas.openxmlformats.org/officeDocument/2006/relationships" name="Metrics" sheetId="4" state="visible" r:id="rId4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5">
    <numFmt numFmtId="164" formatCode="\$#,##0.00"/>
    <numFmt numFmtId="165" formatCode="0.0%"/>
    <numFmt numFmtId="166" formatCode="#,##0.0"/>
    <numFmt numFmtId="167" formatCode="0.0\x"/>
    <numFmt numFmtId="168" formatCode="0.0000"/>
  </numFmts>
  <fonts count="10">
    <font>
      <name val="Calibri"/>
      <charset val="1"/>
      <family val="2"/>
      <color theme="1"/>
      <sz val="11"/>
    </font>
    <font>
      <name val="Helvetica"/>
      <family val="2"/>
      <b val="1"/>
      <color rgb="FF990013"/>
      <sz val="13"/>
    </font>
    <font>
      <name val="Helvetica"/>
      <family val="2"/>
      <color theme="1"/>
      <sz val="11"/>
    </font>
    <font>
      <name val="Helvetica"/>
      <family val="2"/>
      <b val="1"/>
      <color rgb="FF990013"/>
      <sz val="11"/>
    </font>
    <font>
      <name val="Helvetica"/>
      <family val="2"/>
      <b val="1"/>
      <color rgb="FFFFFFFF"/>
      <sz val="11"/>
    </font>
    <font>
      <name val="Helvetica"/>
      <family val="2"/>
      <color rgb="FF000000"/>
      <sz val="11"/>
    </font>
    <font>
      <name val="Helvetica"/>
      <family val="2"/>
      <b val="1"/>
      <color rgb="FF000000"/>
      <sz val="11"/>
    </font>
    <font>
      <name val="Helvetica"/>
      <family val="2"/>
      <i val="1"/>
      <color rgb="FF4A4A4A"/>
      <sz val="11"/>
    </font>
    <font>
      <name val="Helvetica"/>
      <family val="2"/>
      <b val="1"/>
      <i val="1"/>
      <color rgb="FF990013"/>
      <sz val="11"/>
    </font>
    <font>
      <name val="Helvetica"/>
      <family val="2"/>
      <color rgb="FF0000FF"/>
      <sz val="11"/>
    </font>
  </fonts>
  <fills count="6">
    <fill>
      <patternFill/>
    </fill>
    <fill>
      <patternFill patternType="gray125"/>
    </fill>
    <fill>
      <patternFill patternType="solid">
        <fgColor rgb="FFF2E4B7"/>
        <bgColor rgb="FFD9D9D9"/>
      </patternFill>
    </fill>
    <fill>
      <patternFill patternType="solid">
        <fgColor rgb="FFF5F5F5"/>
        <bgColor rgb="FFF9F9F9"/>
      </patternFill>
    </fill>
    <fill>
      <patternFill patternType="solid">
        <fgColor rgb="FF6B000C"/>
        <bgColor rgb="FF990013"/>
      </patternFill>
    </fill>
    <fill>
      <patternFill patternType="solid">
        <fgColor rgb="FFFFF8E1"/>
        <bgColor rgb="FFF9F9F9"/>
      </patternFill>
    </fill>
  </fills>
  <borders count="7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</borders>
  <cellStyleXfs count="1">
    <xf numFmtId="0" fontId="0" fillId="0" borderId="0"/>
  </cellStyleXfs>
  <cellXfs count="9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2" fillId="3" borderId="0" pivotButton="0" quotePrefix="0" xfId="0"/>
    <xf numFmtId="165" fontId="2" fillId="3" borderId="0" pivotButton="0" quotePrefix="0" xfId="0"/>
    <xf numFmtId="164" fontId="3" fillId="0" borderId="1" pivotButton="0" quotePrefix="0" xfId="0"/>
    <xf numFmtId="164" fontId="3" fillId="3" borderId="1" pivotButton="0" quotePrefix="0" xfId="0"/>
    <xf numFmtId="0" fontId="2" fillId="0" borderId="2" pivotButton="0" quotePrefix="0" xfId="0"/>
    <xf numFmtId="0" fontId="2" fillId="0" borderId="3" pivotButton="0" quotePrefix="0" xfId="0"/>
    <xf numFmtId="0" fontId="2" fillId="3" borderId="0" pivotButton="0" quotePrefix="0" xfId="0"/>
    <xf numFmtId="0" fontId="3" fillId="0" borderId="0" pivotButton="0" quotePrefix="0" xfId="0"/>
    <xf numFmtId="0" fontId="3" fillId="2" borderId="0" pivotButton="0" quotePrefix="0" xfId="0"/>
    <xf numFmtId="0" fontId="0" fillId="0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3" borderId="1" pivotButton="0" quotePrefix="0" xfId="0"/>
    <xf numFmtId="165" fontId="5" fillId="3" borderId="1" applyAlignment="1" pivotButton="0" quotePrefix="0" xfId="0">
      <alignment horizontal="right"/>
    </xf>
    <xf numFmtId="0" fontId="5" fillId="0" borderId="1" pivotButton="0" quotePrefix="0" xfId="0"/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3" fontId="5" fillId="3" borderId="1" pivotButton="0" quotePrefix="0" xfId="0"/>
    <xf numFmtId="166" fontId="5" fillId="0" borderId="1" pivotButton="0" quotePrefix="0" xfId="0"/>
    <xf numFmtId="165" fontId="5" fillId="3" borderId="1" pivotButton="0" quotePrefix="0" xfId="0"/>
    <xf numFmtId="165" fontId="5" fillId="0" borderId="1" pivotButton="0" quotePrefix="0" xfId="0"/>
    <xf numFmtId="166" fontId="5" fillId="3" borderId="1" pivotButton="0" quotePrefix="0" xfId="0"/>
    <xf numFmtId="164" fontId="5" fillId="3" borderId="1" pivotButton="0" quotePrefix="0" xfId="0"/>
    <xf numFmtId="164" fontId="5" fillId="0" borderId="1" pivotButton="0" quotePrefix="0" xfId="0"/>
    <xf numFmtId="0" fontId="3" fillId="2" borderId="0" pivotButton="0" quotePrefix="0" xfId="0"/>
    <xf numFmtId="0" fontId="6" fillId="3" borderId="1" pivotButton="0" quotePrefix="0" xfId="0"/>
    <xf numFmtId="0" fontId="7" fillId="0" borderId="1" pivotButton="0" quotePrefix="0" xfId="0"/>
    <xf numFmtId="49" fontId="5" fillId="0" borderId="1" pivotButton="0" quotePrefix="0" xfId="0"/>
    <xf numFmtId="0" fontId="8" fillId="0" borderId="4" pivotButton="0" quotePrefix="0" xfId="0"/>
    <xf numFmtId="0" fontId="6" fillId="0" borderId="1" pivotButton="0" quotePrefix="0" xfId="0"/>
    <xf numFmtId="0" fontId="8" fillId="0" borderId="1" pivotButton="0" quotePrefix="0" xfId="0"/>
    <xf numFmtId="0" fontId="8" fillId="3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pivotButton="0" quotePrefix="0" xfId="0"/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0" fontId="4" fillId="4" borderId="1" applyAlignment="1" pivotButton="0" quotePrefix="0" xfId="0">
      <alignment horizontal="center" wrapText="1"/>
    </xf>
    <xf numFmtId="167" fontId="9" fillId="0" borderId="1" pivotButton="0" quotePrefix="0" xfId="0"/>
    <xf numFmtId="3" fontId="6" fillId="3" borderId="1" pivotButton="0" quotePrefix="0" xfId="0"/>
    <xf numFmtId="3" fontId="5" fillId="0" borderId="1" pivotButton="0" quotePrefix="0" xfId="0"/>
    <xf numFmtId="167" fontId="5" fillId="0" borderId="1" pivotButton="0" quotePrefix="0" xfId="0"/>
    <xf numFmtId="168" fontId="5" fillId="0" borderId="1" pivotButton="0" quotePrefix="0" xfId="0"/>
    <xf numFmtId="3" fontId="6" fillId="0" borderId="1" pivotButton="0" quotePrefix="0" xfId="0"/>
    <xf numFmtId="3" fontId="9" fillId="3" borderId="1" pivotButton="0" quotePrefix="0" xfId="0"/>
    <xf numFmtId="167" fontId="9" fillId="3" borderId="1" pivotButton="0" quotePrefix="0" xfId="0"/>
    <xf numFmtId="164" fontId="6" fillId="3" borderId="1" pivotButton="0" quotePrefix="0" xfId="0"/>
    <xf numFmtId="0" fontId="4" fillId="4" borderId="1" applyAlignment="1" pivotButton="0" quotePrefix="0" xfId="0">
      <alignment horizontal="center"/>
    </xf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4" fontId="6" fillId="0" borderId="1" pivotButton="0" quotePrefix="0" xfId="0"/>
    <xf numFmtId="167" fontId="4" fillId="4" borderId="1" applyAlignment="1" pivotButton="0" quotePrefix="0" xfId="0">
      <alignment horizontal="center"/>
    </xf>
    <xf numFmtId="0" fontId="9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9" fillId="3" borderId="1" pivotButton="0" quotePrefix="0" xfId="0"/>
    <xf numFmtId="0" fontId="9" fillId="0" borderId="1" pivotButton="0" quotePrefix="0" xfId="0"/>
    <xf numFmtId="0" fontId="9" fillId="3" borderId="1" pivotButton="0" quotePrefix="0" xfId="0"/>
    <xf numFmtId="3" fontId="9" fillId="3" borderId="1" applyAlignment="1" pivotButton="0" quotePrefix="0" xfId="0">
      <alignment horizontal="right"/>
    </xf>
    <xf numFmtId="3" fontId="9" fillId="0" borderId="1" applyAlignment="1" pivotButton="0" quotePrefix="0" xfId="0">
      <alignment horizontal="right"/>
    </xf>
    <xf numFmtId="3" fontId="5" fillId="3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4" fontId="9" fillId="0" borderId="1" applyAlignment="1" pivotButton="0" quotePrefix="0" xfId="0">
      <alignment horizontal="right"/>
    </xf>
    <xf numFmtId="166" fontId="9" fillId="3" borderId="1" applyAlignment="1" pivotButton="0" quotePrefix="0" xfId="0">
      <alignment horizontal="right"/>
    </xf>
    <xf numFmtId="0" fontId="0" fillId="0" borderId="0" pivotButton="0" quotePrefix="0" xfId="0"/>
    <xf numFmtId="166" fontId="9" fillId="3" borderId="1" applyAlignment="1" pivotButton="0" quotePrefix="0" xfId="0">
      <alignment horizontal="right"/>
    </xf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165" fontId="5" fillId="0" borderId="1" pivotButton="0" quotePrefix="0" xfId="0"/>
    <xf numFmtId="165" fontId="2" fillId="3" borderId="0" pivotButton="0" quotePrefix="0" xfId="0"/>
    <xf numFmtId="166" fontId="5" fillId="3" borderId="1" pivotButton="0" quotePrefix="0" xfId="0"/>
    <xf numFmtId="165" fontId="5" fillId="3" borderId="1" pivotButton="0" quotePrefix="0" xfId="0"/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6" fontId="5" fillId="0" borderId="1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6B000C"/>
      <rgbColor rgb="FF1B7A2B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1"/>
      <rgbColor rgb="FFF5F5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990013"/>
      <rgbColor rgb="FF008080"/>
      <rgbColor rgb="FF0000FF"/>
      <rgbColor rgb="FF00CCFF"/>
      <rgbColor rgb="FFF9F9F9"/>
      <rgbColor rgb="FFCCFFCC"/>
      <rgbColor rgb="FFFFFF99"/>
      <rgbColor rgb="FF99CCFF"/>
      <rgbColor rgb="FFFF99CC"/>
      <rgbColor rgb="FFCC99FF"/>
      <rgbColor rgb="FFF2E4B7"/>
      <rgbColor rgb="FF3366FF"/>
      <rgbColor rgb="FF33CCCC"/>
      <rgbColor rgb="FF99CC00"/>
      <rgbColor rgb="FFFFCC00"/>
      <rgbColor rgb="FFD4A017"/>
      <rgbColor rgb="FFE67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Revenue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Data!$B$14:$L$14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8710990"/>
        <axId val="74682889"/>
      </barChart>
      <catAx>
        <axId val="187109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4682889"/>
        <crosses val="autoZero"/>
        <auto val="1"/>
        <lblAlgn val="ctr"/>
        <lblOffset val="100"/>
        <noMultiLvlLbl val="0"/>
      </catAx>
      <valAx>
        <axId val="7468288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7109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Return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ROE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Metrics!$B$12:$L$12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ROA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Metrics!$B$13:$L$13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ROIC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Metrics!$B$14:$L$14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94010160"/>
        <axId val="18425097"/>
      </lineChart>
      <catAx>
        <axId val="9401016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425097"/>
        <crosses val="autoZero"/>
        <auto val="1"/>
        <lblAlgn val="ctr"/>
        <lblOffset val="100"/>
        <noMultiLvlLbl val="0"/>
      </catAx>
      <valAx>
        <axId val="18425097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4010160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Revenue &amp; NI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Revenue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Metrics!$B$22:$L$22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Net Income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Metrics!$B$25:$L$25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2185944"/>
        <axId val="31056579"/>
      </lineChart>
      <catAx>
        <axId val="218594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1056579"/>
        <crosses val="autoZero"/>
        <auto val="1"/>
        <lblAlgn val="ctr"/>
        <lblOffset val="100"/>
        <noMultiLvlLbl val="0"/>
      </catAx>
      <valAx>
        <axId val="310565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8594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EPS &amp; FCF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EPS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Metrics!$B$24:$L$24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FCF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Metrics!$B$26:$L$26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78551087"/>
        <axId val="23255430"/>
      </lineChart>
      <catAx>
        <axId val="78551087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255430"/>
        <crosses val="autoZero"/>
        <auto val="1"/>
        <lblAlgn val="ctr"/>
        <lblOffset val="100"/>
        <noMultiLvlLbl val="0"/>
      </catAx>
      <valAx>
        <axId val="23255430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8551087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Diluted Shares Outstanding (M)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E673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Data!$B$28:$L$28</f>
              <numCache>
                <formatCode>#,##0.0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5311716"/>
        <axId val="64108665"/>
      </barChart>
      <catAx>
        <axId val="9531171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108665"/>
        <crosses val="autoZero"/>
        <auto val="1"/>
        <lblAlgn val="ctr"/>
        <lblOffset val="100"/>
        <noMultiLvlLbl val="0"/>
      </catAx>
      <valAx>
        <axId val="6410866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Millions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531171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Gross Profit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Data!$B$16:$L$16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3954243"/>
        <axId val="89371096"/>
      </barChart>
      <catAx>
        <axId val="23954243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9371096"/>
        <crosses val="autoZero"/>
        <auto val="1"/>
        <lblAlgn val="ctr"/>
        <lblOffset val="100"/>
        <noMultiLvlLbl val="0"/>
      </catAx>
      <valAx>
        <axId val="8937109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954243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Leverage Ratios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D/E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Metrics!$B$16:$L$16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Current Ratio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Metrics!$B$17:$L$17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44890201"/>
        <axId val="32546956"/>
      </lineChart>
      <catAx>
        <axId val="44890201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546956"/>
        <crosses val="autoZero"/>
        <auto val="1"/>
        <lblAlgn val="ctr"/>
        <lblOffset val="100"/>
        <noMultiLvlLbl val="0"/>
      </catAx>
      <valAx>
        <axId val="3254695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Ratio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4890201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Debt / EBITDA &amp; Interest Coverage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Debt/EBITDA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Metrics!$B$18:$L$18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Int. Coverage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Metrics!$B$15:$L$15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8300954"/>
        <axId val="90311795"/>
      </lineChart>
      <catAx>
        <axId val="830095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0311795"/>
        <crosses val="autoZero"/>
        <auto val="1"/>
        <lblAlgn val="ctr"/>
        <lblOffset val="100"/>
        <noMultiLvlLbl val="0"/>
      </catAx>
      <valAx>
        <axId val="9031179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x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0095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Net Income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Data!$B$26:$L$26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8680932"/>
        <axId val="61363005"/>
      </barChart>
      <catAx>
        <axId val="8680932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1363005"/>
        <crosses val="autoZero"/>
        <auto val="1"/>
        <lblAlgn val="ctr"/>
        <lblOffset val="100"/>
        <noMultiLvlLbl val="0"/>
      </catAx>
      <valAx>
        <axId val="6136300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680932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EBITDA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4A4A4A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Data!$B$20:$L$20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45039890"/>
        <axId val="59884379"/>
      </barChart>
      <catAx>
        <axId val="450398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59884379"/>
        <crosses val="autoZero"/>
        <auto val="1"/>
        <lblAlgn val="ctr"/>
        <lblOffset val="100"/>
        <noMultiLvlLbl val="0"/>
      </catAx>
      <valAx>
        <axId val="598843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50398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Free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Data!$B$53:$L$53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6997740"/>
        <axId val="64899182"/>
      </barChart>
      <catAx>
        <axId val="1699774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899182"/>
        <crosses val="autoZero"/>
        <auto val="1"/>
        <lblAlgn val="ctr"/>
        <lblOffset val="100"/>
        <noMultiLvlLbl val="0"/>
      </catAx>
      <valAx>
        <axId val="64899182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699774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Diluted EPS ($)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Data!$B$27:$L$27</f>
              <numCache>
                <formatCode>\$#,##0.00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75465604"/>
        <axId val="64934488"/>
      </barChart>
      <catAx>
        <axId val="7546560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934488"/>
        <crosses val="autoZero"/>
        <auto val="1"/>
        <lblAlgn val="ctr"/>
        <lblOffset val="100"/>
        <noMultiLvlLbl val="0"/>
      </catAx>
      <valAx>
        <axId val="64934488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$/share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5465604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Operating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808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Data!$B$51:$L$51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2461599"/>
        <axId val="83484904"/>
      </barChart>
      <catAx>
        <axId val="9246159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484904"/>
        <crosses val="autoZero"/>
        <auto val="1"/>
        <lblAlgn val="ctr"/>
        <lblOffset val="100"/>
        <noMultiLvlLbl val="0"/>
      </catAx>
      <valAx>
        <axId val="834849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2461599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Cash vs Total Debt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tx>
            <v>Cash</v>
          </tx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Data!$B$32:$L$32</f>
              <numCache>
                <formatCode>#,##0</formatCode>
                <ptCount val="11"/>
              </numCache>
            </numRef>
          </val>
        </ser>
        <ser>
          <idx val="1"/>
          <order val="1"/>
          <tx>
            <v>Total Debt</v>
          </tx>
          <spPr>
            <a:solidFill xmlns:a="http://schemas.openxmlformats.org/drawingml/2006/main">
              <a:srgbClr val="CC00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Data!$B$35:$L$35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1586178"/>
        <axId val="32383504"/>
      </barChart>
      <catAx>
        <axId val="21586178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383504"/>
        <crosses val="autoZero"/>
        <auto val="1"/>
        <lblAlgn val="ctr"/>
        <lblOffset val="100"/>
        <noMultiLvlLbl val="0"/>
      </catAx>
      <valAx>
        <axId val="323835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586178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Shareholders' Equity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Data!$B$41:$L$41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9443486"/>
        <axId val="99539455"/>
      </barChart>
      <catAx>
        <axId val="2944348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9539455"/>
        <crosses val="autoZero"/>
        <auto val="1"/>
        <lblAlgn val="ctr"/>
        <lblOffset val="100"/>
        <noMultiLvlLbl val="0"/>
      </catAx>
      <valAx>
        <axId val="9953945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944348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Margin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Gross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Metrics!$B$4:$L$4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EBITDA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Metrics!$B$5:$L$5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Operating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Metrics!$B$6:$L$6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3"/>
          <order val="3"/>
          <tx>
            <v>Net</v>
          </tx>
          <spPr>
            <a:ln xmlns:a="http://schemas.openxmlformats.org/drawingml/2006/main" w="21960">
              <a:solidFill>
                <a:srgbClr val="D4A017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Metrics!$B$7:$L$7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4"/>
          <order val="4"/>
          <tx>
            <v>FCF</v>
          </tx>
          <spPr>
            <a:ln xmlns:a="http://schemas.openxmlformats.org/drawingml/2006/main" w="21960">
              <a:solidFill>
                <a:srgbClr val="CC0000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Metrics!$B$8:$L$8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1062329"/>
        <axId val="48221676"/>
      </lineChart>
      <catAx>
        <axId val="106232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8221676"/>
        <crosses val="autoZero"/>
        <auto val="1"/>
        <lblAlgn val="ctr"/>
        <lblOffset val="100"/>
        <noMultiLvlLbl val="0"/>
      </catAx>
      <valAx>
        <axId val="4822167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062329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omments/comment1.xml><?xml version="1.0" encoding="utf-8"?>
<comments xmlns="http://schemas.openxmlformats.org/spreadsheetml/2006/main">
  <authors>
    <author>Unknown Author</author>
  </authors>
  <commentList>
    <comment ref="A24" authorId="0" shapeId="0">
      <text>
        <t>NOTE: Pre-Tax = EBIT - Interest. This ignores other income/expense items. Always input Net Income (row 26) directly from the filing, not as a derived figure. Use the reconciliation check (Metrics row 171) to verify; non-zero values indicate other income/expense items exist.</t>
      </text>
    </comment>
  </commentList>
</comments>
</file>

<file path=xl/comments/comment2.xml><?xml version="1.0" encoding="utf-8"?>
<comments xmlns="http://schemas.openxmlformats.org/spreadsheetml/2006/main">
  <authors>
    <author>FL Audit</author>
  </authors>
  <commentList>
    <comment ref="A51" authorId="0" shapeId="0">
      <text>
        <t>Year-end discounting convention (exponents 1,2,3,4,5). Mid-year convention (0.5,1.5,2.5...) would add ~WACC/2 uplift to fair value (~5% at 10% WACC). Year-end is deliberately conservative: offsets inherent optimism in 5-year projections. Multiple conservative anchors already in place (TV averaging, scenario weighting, dual sensitivity tables). Conservative bias is a feature for real capital deployment.</t>
      </text>
    </comment>
  </commentList>
</comments>
</file>

<file path=xl/comments/comment3.xml><?xml version="1.0" encoding="utf-8"?>
<comments xmlns="http://schemas.openxmlformats.org/spreadsheetml/2006/main">
  <authors>
    <author>FL Audit</author>
    <author>Unknown Author</author>
  </authors>
  <commentList>
    <comment ref="A14" authorId="0" shapeId="0">
      <text>
        <t>Effective tax rate (Tax/Pre-Tax) used instead of marginal rate. This includes the interest tax shield, slightly overstating NOPAT and ROIC for levered companies. Magnitude: ~0.4% ROIC impact for a company with $100M interest, $5B EBIT at 21% tax. Immaterial for low-leverage names (AAPL, MSFT, GOOGL). For high-leverage holdings, cross-reference with Interest Coverage and D/E ratios shown below. Using actual effective rate is more responsive than hardcoding 21% marginal.</t>
      </text>
    </comment>
    <comment ref="A70" authorId="0" shapeId="0">
      <text>
        <t>Not standard 'Tangible Assets/Share' (which = (Total Assets - Intangibles) / Shares). This captures only physical property and liquid cash — the hardest assets in a liquidation scenario. For the standard tangible book view, see TBVPS in row 71. Both are useful: row 71 gives broad tangible equity, this row gives the hard-asset floor.</t>
      </text>
    </comment>
    <comment ref="A108" authorId="1" shapeId="0">
      <text>
        <t>PROXY: Uses total Shareholders' Equity / Total Assets as proxy for Retained Earnings / Total Assets. Will overstate X2 for companies with large paid-in capital. For precision, manually replace with RE/TA from 10-K.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Relationship Type="http://schemas.openxmlformats.org/officeDocument/2006/relationships/chart" Target="/xl/charts/chart7.xml" Id="rId7"/><Relationship Type="http://schemas.openxmlformats.org/officeDocument/2006/relationships/chart" Target="/xl/charts/chart8.xml" Id="rId8"/><Relationship Type="http://schemas.openxmlformats.org/officeDocument/2006/relationships/chart" Target="/xl/charts/chart9.xml" Id="rId9"/><Relationship Type="http://schemas.openxmlformats.org/officeDocument/2006/relationships/chart" Target="/xl/charts/chart10.xml" Id="rId10"/><Relationship Type="http://schemas.openxmlformats.org/officeDocument/2006/relationships/chart" Target="/xl/charts/chart11.xml" Id="rId11"/><Relationship Type="http://schemas.openxmlformats.org/officeDocument/2006/relationships/chart" Target="/xl/charts/chart12.xml" Id="rId12"/><Relationship Type="http://schemas.openxmlformats.org/officeDocument/2006/relationships/chart" Target="/xl/charts/chart13.xml" Id="rId13"/><Relationship Type="http://schemas.openxmlformats.org/officeDocument/2006/relationships/chart" Target="/xl/charts/chart14.xml" Id="rId14"/><Relationship Type="http://schemas.openxmlformats.org/officeDocument/2006/relationships/chart" Target="/xl/charts/chart15.xml" Id="rId15"/><Relationship Type="http://schemas.openxmlformats.org/officeDocument/2006/relationships/chart" Target="/xl/charts/chart16.xml" Id="rId16"/><Relationship Type="http://schemas.openxmlformats.org/officeDocument/2006/relationships/image" Target="/xl/media/image1.png" Id="rId17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1</row>
      <rowOff>175680</rowOff>
    </from>
    <to>
      <col>11</col>
      <colOff>359280</colOff>
      <row>20</row>
      <rowOff>150480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10</col>
      <colOff>0</colOff>
      <row>1</row>
      <rowOff>175680</rowOff>
    </from>
    <to>
      <col>20</col>
      <colOff>359280</colOff>
      <row>20</row>
      <rowOff>150480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 editAs="oneCell">
    <from>
      <col>1</col>
      <colOff>0</colOff>
      <row>18</row>
      <rowOff>175680</rowOff>
    </from>
    <to>
      <col>11</col>
      <colOff>359280</colOff>
      <row>37</row>
      <rowOff>150480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  <twoCellAnchor editAs="oneCell">
    <from>
      <col>10</col>
      <colOff>0</colOff>
      <row>18</row>
      <rowOff>175680</rowOff>
    </from>
    <to>
      <col>20</col>
      <colOff>359280</colOff>
      <row>37</row>
      <rowOff>150480</rowOff>
    </to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twoCellAnchor>
  <twoCellAnchor editAs="oneCell">
    <from>
      <col>1</col>
      <colOff>0</colOff>
      <row>35</row>
      <rowOff>176040</rowOff>
    </from>
    <to>
      <col>11</col>
      <colOff>359280</colOff>
      <row>54</row>
      <rowOff>150480</rowOff>
    </to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twoCellAnchor>
  <twoCellAnchor editAs="oneCell">
    <from>
      <col>10</col>
      <colOff>0</colOff>
      <row>35</row>
      <rowOff>176040</rowOff>
    </from>
    <to>
      <col>20</col>
      <colOff>359280</colOff>
      <row>54</row>
      <rowOff>150480</rowOff>
    </to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twoCellAnchor>
  <twoCellAnchor editAs="oneCell">
    <from>
      <col>1</col>
      <colOff>0</colOff>
      <row>52</row>
      <rowOff>176040</rowOff>
    </from>
    <to>
      <col>11</col>
      <colOff>359280</colOff>
      <row>71</row>
      <rowOff>150840</rowOff>
    </to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twoCellAnchor>
  <twoCellAnchor editAs="oneCell">
    <from>
      <col>10</col>
      <colOff>0</colOff>
      <row>52</row>
      <rowOff>176040</rowOff>
    </from>
    <to>
      <col>20</col>
      <colOff>359280</colOff>
      <row>71</row>
      <rowOff>150840</rowOff>
    </to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twoCellAnchor>
  <twoCellAnchor editAs="oneCell">
    <from>
      <col>1</col>
      <colOff>0</colOff>
      <row>69</row>
      <rowOff>176040</rowOff>
    </from>
    <to>
      <col>11</col>
      <colOff>359280</colOff>
      <row>88</row>
      <rowOff>150840</rowOff>
    </to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twoCellAnchor>
  <twoCellAnchor editAs="oneCell">
    <from>
      <col>10</col>
      <colOff>0</colOff>
      <row>69</row>
      <rowOff>176040</rowOff>
    </from>
    <to>
      <col>20</col>
      <colOff>359280</colOff>
      <row>88</row>
      <rowOff>150840</rowOff>
    </to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twoCellAnchor>
  <twoCellAnchor editAs="oneCell">
    <from>
      <col>1</col>
      <colOff>0</colOff>
      <row>86</row>
      <rowOff>176040</rowOff>
    </from>
    <to>
      <col>11</col>
      <colOff>359280</colOff>
      <row>105</row>
      <rowOff>150840</rowOff>
    </to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twoCellAnchor>
  <twoCellAnchor editAs="oneCell">
    <from>
      <col>10</col>
      <colOff>0</colOff>
      <row>86</row>
      <rowOff>176040</rowOff>
    </from>
    <to>
      <col>20</col>
      <colOff>359280</colOff>
      <row>105</row>
      <rowOff>150840</rowOff>
    </to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twoCellAnchor>
  <twoCellAnchor editAs="oneCell">
    <from>
      <col>1</col>
      <colOff>0</colOff>
      <row>103</row>
      <rowOff>175680</rowOff>
    </from>
    <to>
      <col>11</col>
      <colOff>359280</colOff>
      <row>122</row>
      <rowOff>150480</rowOff>
    </to>
    <graphicFrame>
      <nvGraphicFramePr>
        <cNvPr id="13" name="Chart 1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/>
  </twoCellAnchor>
  <twoCellAnchor editAs="oneCell">
    <from>
      <col>10</col>
      <colOff>0</colOff>
      <row>103</row>
      <rowOff>175680</rowOff>
    </from>
    <to>
      <col>20</col>
      <colOff>359280</colOff>
      <row>122</row>
      <rowOff>150480</rowOff>
    </to>
    <graphicFrame>
      <nvGraphicFramePr>
        <cNvPr id="14" name="Chart 1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/>
  </twoCellAnchor>
  <twoCellAnchor editAs="oneCell">
    <from>
      <col>1</col>
      <colOff>0</colOff>
      <row>120</row>
      <rowOff>175680</rowOff>
    </from>
    <to>
      <col>11</col>
      <colOff>359280</colOff>
      <row>139</row>
      <rowOff>150480</rowOff>
    </to>
    <graphicFrame>
      <nvGraphicFramePr>
        <cNvPr id="15" name="Chart 1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/>
  </twoCellAnchor>
  <twoCellAnchor editAs="oneCell">
    <from>
      <col>10</col>
      <colOff>0</colOff>
      <row>120</row>
      <rowOff>175680</rowOff>
    </from>
    <to>
      <col>20</col>
      <colOff>359280</colOff>
      <row>139</row>
      <rowOff>150480</rowOff>
    </to>
    <graphicFrame>
      <nvGraphicFramePr>
        <cNvPr id="16" name="Chart 1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/>
  </twoCellAnchor>
  <twoCellAnchor editAs="oneCell">
    <from>
      <col>0</col>
      <colOff>0</colOff>
      <row>0</row>
      <rowOff>0</rowOff>
    </from>
    <to>
      <col>4</col>
      <colOff>346320</colOff>
      <row>0</row>
      <rowOff>692640</rowOff>
    </to>
    <pic>
      <nvPicPr>
        <cNvPr id="18" name="Image 17" descr="Picture"/>
        <cNvPicPr/>
      </nvPicPr>
      <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7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8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799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4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9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tabColor rgb="FFF2E4B7"/>
    <outlinePr summaryBelow="1" summaryRight="1"/>
    <pageSetUpPr/>
  </sheetPr>
  <dimension ref="A1:A8"/>
  <sheetViews>
    <sheetView showGridLines="0"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/>
  <cols>
    <col width="2" customWidth="1" style="74" min="1" max="1"/>
  </cols>
  <sheetData>
    <row r="1" ht="54.75" customHeight="1" s="74">
      <c r="A1" s="1" t="n"/>
    </row>
    <row r="2" ht="15" customHeight="1" s="74">
      <c r="A2" s="2" t="n"/>
    </row>
    <row r="3" ht="15" customHeight="1" s="74">
      <c r="A3" s="2" t="n"/>
    </row>
    <row r="4" ht="15" customHeight="1" s="74">
      <c r="A4" s="2" t="n"/>
    </row>
    <row r="5" ht="15" customHeight="1" s="74">
      <c r="A5" s="3" t="n"/>
    </row>
    <row r="6" ht="15" customHeight="1" s="74">
      <c r="A6" s="2" t="n"/>
    </row>
    <row r="7" ht="15" customHeight="1" s="74">
      <c r="A7" s="2" t="n"/>
    </row>
    <row r="8" ht="15" customHeight="1" s="74">
      <c r="A8" s="2" t="n"/>
    </row>
  </sheetData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FF990013"/>
    <outlinePr summaryBelow="1" summaryRight="1"/>
    <pageSetUpPr/>
  </sheetPr>
  <dimension ref="A1:U57"/>
  <sheetViews>
    <sheetView zoomScale="110" zoomScaleNormal="10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H21" sqref="H21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5" customHeight="1" s="74">
      <c r="A2" s="30" t="inlineStr">
        <is>
          <t>COMPANY INFO</t>
        </is>
      </c>
    </row>
    <row r="3" ht="15" customHeight="1" s="74">
      <c r="A3" s="17" t="inlineStr">
        <is>
          <t>Ticker</t>
        </is>
      </c>
      <c r="B3" s="66" t="inlineStr">
        <is>
          <t>CRM</t>
        </is>
      </c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N3" s="2" t="n"/>
      <c r="O3" s="2" t="n"/>
      <c r="P3" s="2" t="n"/>
      <c r="Q3" s="2" t="n"/>
      <c r="R3" s="2" t="n"/>
      <c r="S3" s="2" t="n"/>
      <c r="T3" s="2" t="n"/>
      <c r="U3" s="2" t="n"/>
    </row>
    <row r="4" ht="15" customHeight="1" s="74">
      <c r="A4" s="15" t="inlineStr">
        <is>
          <t>Company Name</t>
        </is>
      </c>
      <c r="B4" s="67" t="inlineStr">
        <is>
          <t>Salesforce Inc</t>
        </is>
      </c>
      <c r="C4" s="10" t="n"/>
      <c r="D4" s="10" t="n"/>
      <c r="E4" s="10" t="n"/>
      <c r="F4" s="10" t="n"/>
      <c r="G4" s="10" t="n"/>
      <c r="H4" s="10" t="n"/>
      <c r="I4" s="10" t="n"/>
      <c r="J4" s="10" t="n"/>
      <c r="K4" s="10" t="n"/>
      <c r="L4" s="10" t="n"/>
      <c r="N4" s="10" t="n"/>
      <c r="O4" s="10" t="n"/>
      <c r="P4" s="10" t="n"/>
      <c r="Q4" s="10" t="n"/>
      <c r="R4" s="10" t="n"/>
      <c r="S4" s="10" t="n"/>
      <c r="T4" s="10" t="n"/>
      <c r="U4" s="10" t="n"/>
    </row>
    <row r="5" ht="15" customHeight="1" s="74">
      <c r="A5" s="17" t="inlineStr">
        <is>
          <t>Sector / Industry</t>
        </is>
      </c>
      <c r="B5" s="66" t="inlineStr">
        <is>
          <t>Information Technology / Application Software</t>
        </is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N5" s="2" t="n"/>
      <c r="O5" s="2" t="n"/>
      <c r="P5" s="2" t="n"/>
      <c r="Q5" s="2" t="n"/>
      <c r="R5" s="2" t="n"/>
      <c r="S5" s="2" t="n"/>
      <c r="T5" s="2" t="n"/>
      <c r="U5" s="2" t="n"/>
    </row>
    <row r="6" ht="15" customHeight="1" s="74">
      <c r="A6" s="15" t="inlineStr">
        <is>
          <t>Fiscal Year End</t>
        </is>
      </c>
      <c r="B6" s="67" t="inlineStr">
        <is>
          <t>January 31</t>
        </is>
      </c>
      <c r="C6" s="10" t="n"/>
      <c r="D6" s="10" t="n"/>
      <c r="E6" s="10" t="n"/>
      <c r="F6" s="10" t="n"/>
      <c r="G6" s="10" t="n"/>
      <c r="H6" s="10" t="n"/>
      <c r="I6" s="10" t="n"/>
      <c r="J6" s="10" t="n"/>
      <c r="K6" s="10" t="n"/>
      <c r="L6" s="10" t="n"/>
      <c r="N6" s="10" t="n"/>
      <c r="O6" s="10" t="n"/>
      <c r="P6" s="10" t="n"/>
      <c r="Q6" s="10" t="n"/>
      <c r="R6" s="10" t="n"/>
      <c r="S6" s="10" t="n"/>
      <c r="T6" s="10" t="n"/>
      <c r="U6" s="10" t="n"/>
    </row>
    <row r="7" ht="15" customHeight="1" s="74">
      <c r="A7" s="17" t="inlineStr">
        <is>
          <t>Currency</t>
        </is>
      </c>
      <c r="B7" s="66" t="inlineStr">
        <is>
          <t>USD</t>
        </is>
      </c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N7" s="2" t="n"/>
      <c r="O7" s="2" t="n"/>
      <c r="P7" s="2" t="n"/>
      <c r="Q7" s="2" t="n"/>
      <c r="R7" s="2" t="n"/>
      <c r="S7" s="2" t="n"/>
      <c r="T7" s="2" t="n"/>
      <c r="U7" s="2" t="n"/>
    </row>
    <row r="8" ht="15" customHeight="1" s="74">
      <c r="A8" s="15" t="inlineStr">
        <is>
          <t>Current Share Price</t>
        </is>
      </c>
      <c r="B8" s="67" t="n"/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  <c r="N8" s="10" t="n"/>
      <c r="O8" s="10" t="n"/>
      <c r="P8" s="10" t="n"/>
      <c r="Q8" s="10" t="n"/>
      <c r="R8" s="10" t="n"/>
      <c r="S8" s="10" t="n"/>
      <c r="T8" s="10" t="n"/>
      <c r="U8" s="10" t="n"/>
    </row>
    <row r="9" ht="15" customHeight="1" s="74">
      <c r="A9" s="17" t="inlineStr">
        <is>
          <t>Report Date</t>
        </is>
      </c>
      <c r="B9" s="66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15" t="inlineStr">
        <is>
          <t>Source (10-K filing date)</t>
        </is>
      </c>
      <c r="B10" s="67" t="n"/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N10" s="10" t="n"/>
      <c r="O10" s="10" t="n"/>
      <c r="P10" s="10" t="n"/>
      <c r="Q10" s="10" t="n"/>
      <c r="R10" s="10" t="n"/>
      <c r="S10" s="10" t="n"/>
      <c r="T10" s="10" t="n"/>
      <c r="U10" s="10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N11" s="2" t="n"/>
      <c r="O11" s="2" t="n"/>
      <c r="P11" s="2" t="n"/>
      <c r="Q11" s="2" t="n"/>
      <c r="R11" s="2" t="n"/>
      <c r="S11" s="2" t="n"/>
      <c r="T11" s="2" t="n"/>
      <c r="U11" s="2" t="n"/>
    </row>
    <row r="12" ht="15" customHeight="1" s="74">
      <c r="A12" s="30" t="inlineStr">
        <is>
          <t>INCOME STATEMENT ($M)</t>
        </is>
      </c>
    </row>
    <row r="13" ht="15" customHeight="1" s="74">
      <c r="A13" s="14" t="n"/>
      <c r="B13" s="14" t="inlineStr">
        <is>
          <t>2015</t>
        </is>
      </c>
      <c r="C13" s="14" t="inlineStr">
        <is>
          <t>2016</t>
        </is>
      </c>
      <c r="D13" s="14" t="inlineStr">
        <is>
          <t>2017</t>
        </is>
      </c>
      <c r="E13" s="14" t="inlineStr">
        <is>
          <t>2018</t>
        </is>
      </c>
      <c r="F13" s="14" t="inlineStr">
        <is>
          <t>2019</t>
        </is>
      </c>
      <c r="G13" s="14" t="inlineStr">
        <is>
          <t>2020</t>
        </is>
      </c>
      <c r="H13" s="14" t="inlineStr">
        <is>
          <t>2021</t>
        </is>
      </c>
      <c r="I13" s="14" t="inlineStr">
        <is>
          <t>2022</t>
        </is>
      </c>
      <c r="J13" s="14" t="inlineStr">
        <is>
          <t>2023</t>
        </is>
      </c>
      <c r="K13" s="14" t="inlineStr">
        <is>
          <t>2024</t>
        </is>
      </c>
      <c r="L13" s="14" t="inlineStr">
        <is>
          <t>2025</t>
        </is>
      </c>
      <c r="M13" t="inlineStr">
        <is>
          <t>2026</t>
        </is>
      </c>
      <c r="N13" s="14" t="inlineStr">
        <is>
          <t>Q1'24</t>
        </is>
      </c>
      <c r="O13" s="14" t="inlineStr">
        <is>
          <t>Q2'24</t>
        </is>
      </c>
      <c r="P13" s="14" t="inlineStr">
        <is>
          <t>Q3'24</t>
        </is>
      </c>
      <c r="Q13" s="14" t="inlineStr">
        <is>
          <t>Q4'24</t>
        </is>
      </c>
      <c r="R13" s="14" t="inlineStr">
        <is>
          <t>Q1'25</t>
        </is>
      </c>
      <c r="S13" s="14" t="inlineStr">
        <is>
          <t>Q2'25</t>
        </is>
      </c>
      <c r="T13" s="14" t="inlineStr">
        <is>
          <t>Q3'25</t>
        </is>
      </c>
      <c r="U13" s="14" t="inlineStr">
        <is>
          <t>Q4'25</t>
        </is>
      </c>
    </row>
    <row r="14" ht="15" customHeight="1" s="74">
      <c r="A14" s="15" t="inlineStr">
        <is>
          <t>Revenue</t>
        </is>
      </c>
      <c r="B14" s="68" t="n">
        <v>5374</v>
      </c>
      <c r="C14" s="68" t="n">
        <v>6667</v>
      </c>
      <c r="D14" s="68" t="n">
        <v>8437</v>
      </c>
      <c r="E14" s="68" t="n">
        <v>10540</v>
      </c>
      <c r="F14" s="68" t="n">
        <v>13282</v>
      </c>
      <c r="G14" s="68" t="n">
        <v>17098</v>
      </c>
      <c r="H14" s="68" t="n">
        <v>21252</v>
      </c>
      <c r="I14" s="68" t="n">
        <v>26492</v>
      </c>
      <c r="J14" s="68" t="n">
        <v>31352</v>
      </c>
      <c r="K14" s="68" t="n">
        <v>34857</v>
      </c>
      <c r="L14" s="68" t="n">
        <v>37895</v>
      </c>
      <c r="M14" t="n">
        <v>41525</v>
      </c>
      <c r="N14" s="68" t="n"/>
      <c r="O14" s="68" t="n"/>
      <c r="P14" s="68" t="n"/>
      <c r="Q14" s="68" t="n"/>
      <c r="R14" s="68" t="n"/>
      <c r="S14" s="68" t="n"/>
      <c r="T14" s="68" t="n"/>
      <c r="U14" s="68" t="n"/>
    </row>
    <row r="15" ht="15" customHeight="1" s="74">
      <c r="A15" s="17" t="inlineStr">
        <is>
          <t>Cost of Goods Sold</t>
        </is>
      </c>
      <c r="B15" s="69" t="n">
        <v>1290</v>
      </c>
      <c r="C15" s="69" t="n">
        <v>1654</v>
      </c>
      <c r="D15" s="69" t="n">
        <v>2234</v>
      </c>
      <c r="E15" s="69" t="n">
        <v>2773</v>
      </c>
      <c r="F15" s="69" t="n">
        <v>3451</v>
      </c>
      <c r="G15" s="69" t="n">
        <v>4235</v>
      </c>
      <c r="H15" s="69" t="n">
        <v>5438</v>
      </c>
      <c r="I15" s="69" t="n">
        <v>7026</v>
      </c>
      <c r="J15" s="69" t="n">
        <v>8360</v>
      </c>
      <c r="K15" s="69" t="n">
        <v>8541</v>
      </c>
      <c r="L15" s="69" t="n">
        <v>8643</v>
      </c>
      <c r="M15" t="n">
        <v>9270</v>
      </c>
      <c r="N15" s="69" t="n"/>
      <c r="O15" s="69" t="n"/>
      <c r="P15" s="69" t="n"/>
      <c r="Q15" s="69" t="n"/>
      <c r="R15" s="69" t="n"/>
      <c r="S15" s="69" t="n"/>
      <c r="T15" s="69" t="n"/>
      <c r="U15" s="69" t="n"/>
    </row>
    <row r="16" ht="15" customHeight="1" s="74">
      <c r="A16" s="15" t="inlineStr">
        <is>
          <t>Gross Profit</t>
        </is>
      </c>
      <c r="B16" s="70" t="n">
        <v>4084</v>
      </c>
      <c r="C16" s="70" t="n">
        <v>5013</v>
      </c>
      <c r="D16" s="70" t="n">
        <v>6203</v>
      </c>
      <c r="E16" s="70" t="n">
        <v>7767</v>
      </c>
      <c r="F16" s="70" t="n">
        <v>9831</v>
      </c>
      <c r="G16" s="70" t="n">
        <v>12863</v>
      </c>
      <c r="H16" s="70" t="n">
        <v>15814</v>
      </c>
      <c r="I16" s="70" t="n">
        <v>19466</v>
      </c>
      <c r="J16" s="70" t="n">
        <v>22992</v>
      </c>
      <c r="K16" s="70" t="n">
        <v>26316</v>
      </c>
      <c r="L16" s="70" t="n">
        <v>29252</v>
      </c>
      <c r="M16" t="n">
        <v>32255</v>
      </c>
      <c r="N16" s="70" t="n"/>
      <c r="O16" s="70" t="n"/>
      <c r="P16" s="70" t="n"/>
      <c r="Q16" s="70" t="n"/>
      <c r="R16" s="70" t="n"/>
      <c r="S16" s="70" t="n"/>
      <c r="T16" s="70" t="n"/>
      <c r="U16" s="70" t="n"/>
    </row>
    <row r="17" ht="15" customHeight="1" s="74">
      <c r="A17" s="17" t="inlineStr">
        <is>
          <t>SG&amp;A</t>
        </is>
      </c>
      <c r="B17" s="69" t="n">
        <v>3446</v>
      </c>
      <c r="C17" s="69" t="n">
        <v>3988</v>
      </c>
      <c r="D17" s="69" t="n">
        <v>4777</v>
      </c>
      <c r="E17" s="69" t="n">
        <v>5760</v>
      </c>
      <c r="F17" s="69" t="n"/>
      <c r="G17" s="69" t="n">
        <v>12566</v>
      </c>
      <c r="H17" s="69" t="n">
        <v>14804</v>
      </c>
      <c r="I17" s="69" t="n">
        <v>18918</v>
      </c>
      <c r="J17" s="69" t="n">
        <v>17056</v>
      </c>
      <c r="K17" s="69" t="n">
        <v>15411</v>
      </c>
      <c r="L17" s="69" t="n">
        <v>16093</v>
      </c>
      <c r="M17" t="n">
        <v>17345</v>
      </c>
      <c r="N17" s="69" t="n"/>
      <c r="O17" s="69" t="n"/>
      <c r="P17" s="69" t="n"/>
      <c r="Q17" s="69" t="n"/>
      <c r="R17" s="69" t="n"/>
      <c r="S17" s="69" t="n"/>
      <c r="T17" s="69" t="n"/>
      <c r="U17" s="69" t="n"/>
    </row>
    <row r="18" ht="15" customHeight="1" s="74">
      <c r="A18" s="15" t="inlineStr">
        <is>
          <t>R&amp;D</t>
        </is>
      </c>
      <c r="B18" s="68" t="n">
        <v>793</v>
      </c>
      <c r="C18" s="68" t="n">
        <v>946</v>
      </c>
      <c r="D18" s="68" t="n">
        <v>1208</v>
      </c>
      <c r="E18" s="68" t="n">
        <v>1553</v>
      </c>
      <c r="F18" s="68" t="n">
        <v>1886</v>
      </c>
      <c r="G18" s="68" t="n">
        <v>2766</v>
      </c>
      <c r="H18" s="68" t="n">
        <v>3598</v>
      </c>
      <c r="I18" s="68" t="n">
        <v>4465</v>
      </c>
      <c r="J18" s="68" t="n">
        <v>4906</v>
      </c>
      <c r="K18" s="68" t="n">
        <v>4906</v>
      </c>
      <c r="L18" s="68" t="n">
        <v>5493</v>
      </c>
      <c r="M18" t="n">
        <v>5993</v>
      </c>
      <c r="N18" s="68" t="n"/>
      <c r="O18" s="68" t="n"/>
      <c r="P18" s="68" t="n"/>
      <c r="Q18" s="68" t="n"/>
      <c r="R18" s="68" t="n"/>
      <c r="S18" s="68" t="n"/>
      <c r="T18" s="68" t="n"/>
      <c r="U18" s="68" t="n"/>
    </row>
    <row r="19" ht="15" customHeight="1" s="74">
      <c r="A19" s="17" t="inlineStr">
        <is>
          <t>Total OpEx (excl. COGS)</t>
        </is>
      </c>
      <c r="B19" s="71" t="n">
        <v>4230</v>
      </c>
      <c r="C19" s="71" t="n">
        <v>4898</v>
      </c>
      <c r="D19" s="71" t="n">
        <v>5985</v>
      </c>
      <c r="E19" s="71" t="n">
        <v>7313</v>
      </c>
      <c r="F19" s="71" t="n">
        <v>9296</v>
      </c>
      <c r="G19" s="71" t="n">
        <v>12566</v>
      </c>
      <c r="H19" s="71" t="n">
        <v>15359</v>
      </c>
      <c r="I19" s="71" t="n">
        <v>18918</v>
      </c>
      <c r="J19" s="71" t="n">
        <v>21962</v>
      </c>
      <c r="K19" s="71" t="n">
        <v>21305</v>
      </c>
      <c r="L19" s="71" t="n">
        <v>22047</v>
      </c>
      <c r="M19" t="n">
        <v>23924</v>
      </c>
      <c r="N19" s="71" t="n"/>
      <c r="O19" s="71" t="n"/>
      <c r="P19" s="71" t="n"/>
      <c r="Q19" s="71" t="n"/>
      <c r="R19" s="71" t="n"/>
      <c r="S19" s="71" t="n"/>
      <c r="T19" s="71" t="n"/>
      <c r="U19" s="71" t="n"/>
    </row>
    <row r="20" ht="15" customHeight="1" s="74">
      <c r="A20" s="15" t="inlineStr">
        <is>
          <t>EBITDA</t>
        </is>
      </c>
      <c r="B20" s="68" t="n">
        <v>600</v>
      </c>
      <c r="C20" s="68" t="n">
        <v>987</v>
      </c>
      <c r="D20" s="68" t="n">
        <v>1351</v>
      </c>
      <c r="E20" s="68" t="n">
        <v>1830</v>
      </c>
      <c r="F20" s="68" t="n">
        <v>2254</v>
      </c>
      <c r="G20" s="68" t="n">
        <v>3308</v>
      </c>
      <c r="H20" s="68" t="n">
        <v>4359</v>
      </c>
      <c r="I20" s="68" t="n">
        <v>5194</v>
      </c>
      <c r="J20" s="68" t="n">
        <v>6484</v>
      </c>
      <c r="K20" s="68" t="n">
        <v>10895</v>
      </c>
      <c r="L20" s="68" t="n">
        <v>12777</v>
      </c>
      <c r="M20" t="n">
        <v>14159</v>
      </c>
      <c r="N20" s="68" t="n"/>
      <c r="O20" s="68" t="n"/>
      <c r="P20" s="68" t="n"/>
      <c r="Q20" s="68" t="n"/>
      <c r="R20" s="68" t="n"/>
      <c r="S20" s="68" t="n"/>
      <c r="T20" s="68" t="n"/>
      <c r="U20" s="68" t="n"/>
    </row>
    <row r="21" ht="15" customHeight="1" s="74">
      <c r="A21" s="17" t="inlineStr">
        <is>
          <t>D&amp;A</t>
        </is>
      </c>
      <c r="B21" s="69" t="n">
        <v>746</v>
      </c>
      <c r="C21" s="69" t="n">
        <v>872</v>
      </c>
      <c r="D21" s="69" t="n">
        <v>1133</v>
      </c>
      <c r="E21" s="69" t="n">
        <v>1376</v>
      </c>
      <c r="F21" s="69" t="n">
        <v>1719</v>
      </c>
      <c r="G21" s="69" t="n">
        <v>3011</v>
      </c>
      <c r="H21" s="69" t="n">
        <v>3904</v>
      </c>
      <c r="I21" s="69" t="n">
        <v>4646</v>
      </c>
      <c r="J21" s="69" t="n">
        <v>5454</v>
      </c>
      <c r="K21" s="69" t="n">
        <v>5884</v>
      </c>
      <c r="L21" s="69" t="n">
        <v>5572</v>
      </c>
      <c r="M21" t="n">
        <v>5828</v>
      </c>
      <c r="N21" s="69" t="n"/>
      <c r="O21" s="69" t="n"/>
      <c r="P21" s="69" t="n"/>
      <c r="Q21" s="69" t="n"/>
      <c r="R21" s="69" t="n"/>
      <c r="S21" s="69" t="n"/>
      <c r="T21" s="69" t="n"/>
      <c r="U21" s="69" t="n"/>
    </row>
    <row r="22" ht="15" customHeight="1" s="74">
      <c r="A22" s="15" t="inlineStr">
        <is>
          <t>EBIT (Operating Income)</t>
        </is>
      </c>
      <c r="B22" s="70" t="n">
        <v>-146</v>
      </c>
      <c r="C22" s="70" t="n">
        <v>115</v>
      </c>
      <c r="D22" s="70" t="n">
        <v>218</v>
      </c>
      <c r="E22" s="70" t="n">
        <v>454</v>
      </c>
      <c r="F22" s="70" t="n">
        <v>535</v>
      </c>
      <c r="G22" s="70" t="n">
        <v>297</v>
      </c>
      <c r="H22" s="70" t="n">
        <v>455</v>
      </c>
      <c r="I22" s="70" t="n">
        <v>548</v>
      </c>
      <c r="J22" s="70" t="n">
        <v>1030</v>
      </c>
      <c r="K22" s="70" t="n">
        <v>5011</v>
      </c>
      <c r="L22" s="70" t="n">
        <v>7205</v>
      </c>
      <c r="M22" t="n">
        <v>8331</v>
      </c>
      <c r="N22" s="70" t="n"/>
      <c r="O22" s="70" t="n"/>
      <c r="P22" s="70" t="n"/>
      <c r="Q22" s="70" t="n"/>
      <c r="R22" s="70" t="n"/>
      <c r="S22" s="70" t="n"/>
      <c r="T22" s="70" t="n"/>
      <c r="U22" s="70" t="n"/>
    </row>
    <row r="23" ht="15" customHeight="1" s="74">
      <c r="A23" s="17" t="inlineStr">
        <is>
          <t>Interest Expense</t>
        </is>
      </c>
      <c r="B23" s="69" t="n">
        <v>75</v>
      </c>
      <c r="C23" s="69" t="n">
        <v>73</v>
      </c>
      <c r="D23" s="69" t="n">
        <v>89</v>
      </c>
      <c r="E23" s="69" t="n">
        <v>87</v>
      </c>
      <c r="F23" s="69" t="n">
        <v>154</v>
      </c>
      <c r="G23" s="69" t="n">
        <v>126</v>
      </c>
      <c r="H23" s="69" t="n">
        <v>126</v>
      </c>
      <c r="I23" s="69" t="n">
        <v>220</v>
      </c>
      <c r="J23" s="69" t="n">
        <v>283</v>
      </c>
      <c r="K23" s="69" t="n">
        <v>283</v>
      </c>
      <c r="L23" s="69" t="n">
        <v>272</v>
      </c>
      <c r="M23" t="n">
        <v>276</v>
      </c>
      <c r="N23" s="69" t="n"/>
      <c r="O23" s="69" t="n"/>
      <c r="P23" s="69" t="n"/>
      <c r="Q23" s="69" t="n"/>
      <c r="R23" s="69" t="n"/>
      <c r="S23" s="69" t="n"/>
      <c r="T23" s="69" t="n"/>
      <c r="U23" s="69" t="n"/>
    </row>
    <row r="24" ht="15" customHeight="1" s="74">
      <c r="A24" s="15" t="inlineStr">
        <is>
          <t>Pre-Tax Income</t>
        </is>
      </c>
      <c r="B24" s="70" t="n">
        <v>-213</v>
      </c>
      <c r="C24" s="70" t="n">
        <v>64</v>
      </c>
      <c r="D24" s="70" t="n">
        <v>179</v>
      </c>
      <c r="E24" s="70" t="n">
        <v>420</v>
      </c>
      <c r="F24" s="70" t="n">
        <v>983</v>
      </c>
      <c r="G24" s="70" t="n">
        <v>706</v>
      </c>
      <c r="H24" s="70" t="n">
        <v>2564</v>
      </c>
      <c r="I24" s="70" t="n">
        <v>1552</v>
      </c>
      <c r="J24" s="70" t="n">
        <v>660</v>
      </c>
      <c r="K24" s="70" t="n">
        <v>4950</v>
      </c>
      <c r="L24" s="70" t="n">
        <v>7438</v>
      </c>
      <c r="M24" t="n">
        <v>9520</v>
      </c>
      <c r="N24" s="70" t="n"/>
      <c r="O24" s="70" t="n"/>
      <c r="P24" s="70" t="n"/>
      <c r="Q24" s="70" t="n"/>
      <c r="R24" s="70" t="n"/>
      <c r="S24" s="70" t="n"/>
      <c r="T24" s="70" t="n"/>
      <c r="U24" s="70" t="n"/>
    </row>
    <row r="25" ht="15" customHeight="1" s="74">
      <c r="A25" s="17" t="inlineStr">
        <is>
          <t>Tax Expense</t>
        </is>
      </c>
      <c r="B25" s="69" t="n">
        <v>-50</v>
      </c>
      <c r="C25" s="69" t="n">
        <v>-111</v>
      </c>
      <c r="D25" s="69" t="n">
        <v>144</v>
      </c>
      <c r="E25" s="69" t="n">
        <v>-60</v>
      </c>
      <c r="F25" s="69" t="n">
        <v>127</v>
      </c>
      <c r="G25" s="69" t="n">
        <v>580</v>
      </c>
      <c r="H25" s="69" t="n">
        <v>-1511</v>
      </c>
      <c r="I25" s="69" t="n">
        <v>983</v>
      </c>
      <c r="J25" s="69" t="n">
        <v>452</v>
      </c>
      <c r="K25" s="69" t="n">
        <v>814</v>
      </c>
      <c r="L25" s="69" t="n">
        <v>1241</v>
      </c>
      <c r="M25" t="n">
        <v>2063</v>
      </c>
      <c r="N25" s="69" t="n"/>
      <c r="O25" s="69" t="n"/>
      <c r="P25" s="69" t="n"/>
      <c r="Q25" s="69" t="n"/>
      <c r="R25" s="69" t="n"/>
      <c r="S25" s="69" t="n"/>
      <c r="T25" s="69" t="n"/>
      <c r="U25" s="69" t="n"/>
    </row>
    <row r="26" ht="15" customHeight="1" s="74">
      <c r="A26" s="15" t="inlineStr">
        <is>
          <t>Net Income</t>
        </is>
      </c>
      <c r="B26" s="68" t="n">
        <v>-263</v>
      </c>
      <c r="C26" s="68" t="n">
        <v>-47</v>
      </c>
      <c r="D26" s="68" t="n">
        <v>323</v>
      </c>
      <c r="E26" s="68" t="n">
        <v>360</v>
      </c>
      <c r="F26" s="68" t="n">
        <v>1110</v>
      </c>
      <c r="G26" s="68" t="n">
        <v>126</v>
      </c>
      <c r="H26" s="68" t="n">
        <v>4072</v>
      </c>
      <c r="I26" s="68" t="n">
        <v>1444</v>
      </c>
      <c r="J26" s="68" t="n">
        <v>208</v>
      </c>
      <c r="K26" s="68" t="n">
        <v>4136</v>
      </c>
      <c r="L26" s="68" t="n">
        <v>6197</v>
      </c>
      <c r="M26" t="n">
        <v>7457</v>
      </c>
      <c r="N26" s="68" t="n"/>
      <c r="O26" s="68" t="n"/>
      <c r="P26" s="68" t="n"/>
      <c r="Q26" s="68" t="n"/>
      <c r="R26" s="68" t="n"/>
      <c r="S26" s="68" t="n"/>
      <c r="T26" s="68" t="n"/>
      <c r="U26" s="68" t="n"/>
    </row>
    <row r="27" ht="15" customHeight="1" s="74">
      <c r="A27" s="17" t="inlineStr">
        <is>
          <t>Diluted EPS</t>
        </is>
      </c>
      <c r="B27" s="72" t="n">
        <v>-0.42</v>
      </c>
      <c r="C27" s="72" t="n">
        <v>-0.07000000000000001</v>
      </c>
      <c r="D27" s="72" t="n">
        <v>0.46</v>
      </c>
      <c r="E27" s="72" t="n">
        <v>0.49</v>
      </c>
      <c r="F27" s="72" t="n">
        <v>1.43</v>
      </c>
      <c r="G27" s="72" t="n">
        <v>0.15</v>
      </c>
      <c r="H27" s="72" t="n">
        <v>4.38</v>
      </c>
      <c r="I27" s="72" t="n">
        <v>1.48</v>
      </c>
      <c r="J27" s="72" t="n">
        <v>0.21</v>
      </c>
      <c r="K27" s="72" t="n">
        <v>4.2</v>
      </c>
      <c r="L27" s="72" t="n">
        <v>6.36</v>
      </c>
      <c r="M27" t="n">
        <v>7.8</v>
      </c>
      <c r="N27" s="72" t="n"/>
      <c r="O27" s="72" t="n"/>
      <c r="P27" s="72" t="n"/>
      <c r="Q27" s="72" t="n"/>
      <c r="R27" s="72" t="n"/>
      <c r="S27" s="72" t="n"/>
      <c r="T27" s="72" t="n"/>
      <c r="U27" s="72" t="n"/>
    </row>
    <row r="28" ht="15" customHeight="1" s="74">
      <c r="A28" s="15" t="inlineStr">
        <is>
          <t>Diluted Shares Out. (M)</t>
        </is>
      </c>
      <c r="B28" s="75" t="n">
        <v>624</v>
      </c>
      <c r="C28" s="75" t="n">
        <v>662</v>
      </c>
      <c r="D28" s="75" t="n">
        <v>700</v>
      </c>
      <c r="E28" s="75" t="n">
        <v>735</v>
      </c>
      <c r="F28" s="75" t="n">
        <v>775</v>
      </c>
      <c r="G28" s="75" t="n">
        <v>850</v>
      </c>
      <c r="H28" s="75" t="n">
        <v>930</v>
      </c>
      <c r="I28" s="75" t="n">
        <v>974</v>
      </c>
      <c r="J28" s="75" t="n">
        <v>997</v>
      </c>
      <c r="K28" s="75" t="n">
        <v>984</v>
      </c>
      <c r="L28" s="75" t="n">
        <v>974</v>
      </c>
      <c r="M28" t="n">
        <v>956</v>
      </c>
      <c r="N28" s="75" t="n"/>
      <c r="O28" s="75" t="n"/>
      <c r="P28" s="75" t="n"/>
      <c r="Q28" s="75" t="n"/>
      <c r="R28" s="75" t="n"/>
      <c r="S28" s="75" t="n"/>
      <c r="T28" s="75" t="n"/>
      <c r="U28" s="75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N29" s="2" t="n"/>
      <c r="O29" s="2" t="n"/>
      <c r="P29" s="2" t="n"/>
      <c r="Q29" s="2" t="n"/>
      <c r="R29" s="2" t="n"/>
      <c r="S29" s="2" t="n"/>
      <c r="T29" s="2" t="n"/>
      <c r="U29" s="2" t="n"/>
    </row>
    <row r="30" ht="15" customHeight="1" s="74">
      <c r="A30" s="30" t="inlineStr">
        <is>
          <t>BALANCE SHEET ($M)</t>
        </is>
      </c>
    </row>
    <row r="31" ht="15" customHeight="1" s="74">
      <c r="A31" s="14" t="n"/>
      <c r="B31" s="14" t="inlineStr">
        <is>
          <t>2015</t>
        </is>
      </c>
      <c r="C31" s="14" t="inlineStr">
        <is>
          <t>2016</t>
        </is>
      </c>
      <c r="D31" s="14" t="inlineStr">
        <is>
          <t>2017</t>
        </is>
      </c>
      <c r="E31" s="14" t="inlineStr">
        <is>
          <t>2018</t>
        </is>
      </c>
      <c r="F31" s="14" t="inlineStr">
        <is>
          <t>2019</t>
        </is>
      </c>
      <c r="G31" s="14" t="inlineStr">
        <is>
          <t>2020</t>
        </is>
      </c>
      <c r="H31" s="14" t="inlineStr">
        <is>
          <t>2021</t>
        </is>
      </c>
      <c r="I31" s="14" t="inlineStr">
        <is>
          <t>2022</t>
        </is>
      </c>
      <c r="J31" s="14" t="inlineStr">
        <is>
          <t>2023</t>
        </is>
      </c>
      <c r="K31" s="14" t="inlineStr">
        <is>
          <t>2024</t>
        </is>
      </c>
      <c r="L31" s="14" t="inlineStr">
        <is>
          <t>2025</t>
        </is>
      </c>
      <c r="M31" t="inlineStr">
        <is>
          <t>2026</t>
        </is>
      </c>
      <c r="N31" s="14" t="inlineStr">
        <is>
          <t>Q1'24</t>
        </is>
      </c>
      <c r="O31" s="14" t="inlineStr">
        <is>
          <t>Q2'24</t>
        </is>
      </c>
      <c r="P31" s="14" t="inlineStr">
        <is>
          <t>Q3'24</t>
        </is>
      </c>
      <c r="Q31" s="14" t="inlineStr">
        <is>
          <t>Q4'24</t>
        </is>
      </c>
      <c r="R31" s="14" t="inlineStr">
        <is>
          <t>Q1'25</t>
        </is>
      </c>
      <c r="S31" s="14" t="inlineStr">
        <is>
          <t>Q2'25</t>
        </is>
      </c>
      <c r="T31" s="14" t="inlineStr">
        <is>
          <t>Q3'25</t>
        </is>
      </c>
      <c r="U31" s="14" t="inlineStr">
        <is>
          <t>Q4'25</t>
        </is>
      </c>
    </row>
    <row r="32" ht="15" customHeight="1" s="74">
      <c r="A32" s="15" t="inlineStr">
        <is>
          <t>Total Cash &amp; Equivalents</t>
        </is>
      </c>
      <c r="B32" s="68" t="n">
        <v>995</v>
      </c>
      <c r="C32" s="68" t="n">
        <v>2725</v>
      </c>
      <c r="D32" s="68" t="n">
        <v>2209</v>
      </c>
      <c r="E32" s="68" t="n">
        <v>4521</v>
      </c>
      <c r="F32" s="68" t="n">
        <v>4342</v>
      </c>
      <c r="G32" s="68" t="n">
        <v>7947</v>
      </c>
      <c r="H32" s="68" t="n">
        <v>11966</v>
      </c>
      <c r="I32" s="68" t="n">
        <v>10537</v>
      </c>
      <c r="J32" s="68" t="n">
        <v>12508</v>
      </c>
      <c r="K32" s="68" t="n">
        <v>14194</v>
      </c>
      <c r="L32" s="68" t="n">
        <v>14032</v>
      </c>
      <c r="M32" t="n">
        <v>9565</v>
      </c>
      <c r="N32" s="68" t="n"/>
      <c r="O32" s="68" t="n"/>
      <c r="P32" s="68" t="n"/>
      <c r="Q32" s="68" t="n"/>
      <c r="R32" s="68" t="n"/>
      <c r="S32" s="68" t="n"/>
      <c r="T32" s="68" t="n"/>
      <c r="U32" s="68" t="n"/>
    </row>
    <row r="33" ht="15" customHeight="1" s="74">
      <c r="A33" s="17" t="inlineStr">
        <is>
          <t>Short-term Debt</t>
        </is>
      </c>
      <c r="B33" s="69" t="n">
        <v>0</v>
      </c>
      <c r="C33" s="69" t="n">
        <v>0</v>
      </c>
      <c r="D33" s="69" t="n">
        <v>0</v>
      </c>
      <c r="E33" s="69" t="n">
        <v>1025</v>
      </c>
      <c r="F33" s="69" t="n">
        <v>0</v>
      </c>
      <c r="G33" s="69" t="n">
        <v>0</v>
      </c>
      <c r="H33" s="69" t="n">
        <v>0</v>
      </c>
      <c r="I33" s="69" t="n">
        <v>0</v>
      </c>
      <c r="J33" s="69" t="n">
        <v>1182</v>
      </c>
      <c r="K33" s="69" t="n">
        <v>999</v>
      </c>
      <c r="L33" s="69" t="n">
        <v>0</v>
      </c>
      <c r="M33" t="n">
        <v>4000</v>
      </c>
      <c r="N33" s="69" t="n"/>
      <c r="O33" s="69" t="n"/>
      <c r="P33" s="69" t="n"/>
      <c r="Q33" s="69" t="n"/>
      <c r="R33" s="69" t="n"/>
      <c r="S33" s="69" t="n"/>
      <c r="T33" s="69" t="n"/>
      <c r="U33" s="69" t="n"/>
    </row>
    <row r="34" ht="15" customHeight="1" s="74">
      <c r="A34" s="15" t="inlineStr">
        <is>
          <t>Long-term Debt</t>
        </is>
      </c>
      <c r="B34" s="68" t="n">
        <v>1371</v>
      </c>
      <c r="C34" s="68" t="n">
        <v>1286</v>
      </c>
      <c r="D34" s="68" t="n">
        <v>2008</v>
      </c>
      <c r="E34" s="68" t="n">
        <v>695</v>
      </c>
      <c r="F34" s="68" t="n">
        <v>3173</v>
      </c>
      <c r="G34" s="68" t="n">
        <v>2673</v>
      </c>
      <c r="H34" s="68" t="n">
        <v>2673</v>
      </c>
      <c r="I34" s="68" t="n">
        <v>10592</v>
      </c>
      <c r="J34" s="68" t="n">
        <v>9419</v>
      </c>
      <c r="K34" s="68" t="n">
        <v>8427</v>
      </c>
      <c r="L34" s="68" t="n">
        <v>8433</v>
      </c>
      <c r="M34" t="n">
        <v>10439</v>
      </c>
      <c r="N34" s="68" t="n"/>
      <c r="O34" s="68" t="n"/>
      <c r="P34" s="68" t="n"/>
      <c r="Q34" s="68" t="n"/>
      <c r="R34" s="68" t="n"/>
      <c r="S34" s="68" t="n"/>
      <c r="T34" s="68" t="n"/>
      <c r="U34" s="68" t="n"/>
    </row>
    <row r="35" ht="15" customHeight="1" s="74">
      <c r="A35" s="17" t="inlineStr">
        <is>
          <t>Total Debt</t>
        </is>
      </c>
      <c r="B35" s="71">
        <f>B33+B34</f>
        <v/>
      </c>
      <c r="C35" s="71">
        <f>C33+C34</f>
        <v/>
      </c>
      <c r="D35" s="71">
        <f>D33+D34</f>
        <v/>
      </c>
      <c r="E35" s="71">
        <f>E33+E34</f>
        <v/>
      </c>
      <c r="F35" s="71">
        <f>F33+F34</f>
        <v/>
      </c>
      <c r="G35" s="71">
        <f>G33+G34</f>
        <v/>
      </c>
      <c r="H35" s="71">
        <f>H33+H34</f>
        <v/>
      </c>
      <c r="I35" s="71">
        <f>I33+I34</f>
        <v/>
      </c>
      <c r="J35" s="71">
        <f>J33+J34</f>
        <v/>
      </c>
      <c r="K35" s="71">
        <f>K33+K34</f>
        <v/>
      </c>
      <c r="L35" s="71">
        <f>L33+L34</f>
        <v/>
      </c>
      <c r="N35" s="71">
        <f>N33+N34</f>
        <v/>
      </c>
      <c r="O35" s="71">
        <f>O33+O34</f>
        <v/>
      </c>
      <c r="P35" s="71">
        <f>P33+P34</f>
        <v/>
      </c>
      <c r="Q35" s="71">
        <f>Q33+Q34</f>
        <v/>
      </c>
      <c r="R35" s="71">
        <f>R33+R34</f>
        <v/>
      </c>
      <c r="S35" s="71">
        <f>S33+S34</f>
        <v/>
      </c>
      <c r="T35" s="71">
        <f>T33+T34</f>
        <v/>
      </c>
      <c r="U35" s="71">
        <f>U33+U34</f>
        <v/>
      </c>
    </row>
    <row r="36" ht="15" customHeight="1" s="74">
      <c r="A36" s="15" t="inlineStr">
        <is>
          <t>Net Debt</t>
        </is>
      </c>
      <c r="B36" s="70">
        <f>B35-B32</f>
        <v/>
      </c>
      <c r="C36" s="70">
        <f>C35-C32</f>
        <v/>
      </c>
      <c r="D36" s="70">
        <f>D35-D32</f>
        <v/>
      </c>
      <c r="E36" s="70">
        <f>E35-E32</f>
        <v/>
      </c>
      <c r="F36" s="70">
        <f>F35-F32</f>
        <v/>
      </c>
      <c r="G36" s="70">
        <f>G35-G32</f>
        <v/>
      </c>
      <c r="H36" s="70">
        <f>H35-H32</f>
        <v/>
      </c>
      <c r="I36" s="70">
        <f>I35-I32</f>
        <v/>
      </c>
      <c r="J36" s="70">
        <f>J35-J32</f>
        <v/>
      </c>
      <c r="K36" s="70">
        <f>K35-K32</f>
        <v/>
      </c>
      <c r="L36" s="70">
        <f>L35-L32</f>
        <v/>
      </c>
      <c r="N36" s="70">
        <f>N35-N32</f>
        <v/>
      </c>
      <c r="O36" s="70">
        <f>O35-O32</f>
        <v/>
      </c>
      <c r="P36" s="70">
        <f>P35-P32</f>
        <v/>
      </c>
      <c r="Q36" s="70">
        <f>Q35-Q32</f>
        <v/>
      </c>
      <c r="R36" s="70">
        <f>R35-R32</f>
        <v/>
      </c>
      <c r="S36" s="70">
        <f>S35-S32</f>
        <v/>
      </c>
      <c r="T36" s="70">
        <f>T35-T32</f>
        <v/>
      </c>
      <c r="U36" s="70">
        <f>U35-U32</f>
        <v/>
      </c>
    </row>
    <row r="37" ht="15" customHeight="1" s="74">
      <c r="A37" s="17" t="inlineStr">
        <is>
          <t>Total Current Assets</t>
        </is>
      </c>
      <c r="B37" s="69" t="n">
        <v>3515</v>
      </c>
      <c r="C37" s="69" t="n">
        <v>5731</v>
      </c>
      <c r="D37" s="69" t="n">
        <v>5997</v>
      </c>
      <c r="E37" s="69" t="n">
        <v>9584</v>
      </c>
      <c r="F37" s="69" t="n">
        <v>10683</v>
      </c>
      <c r="G37" s="69" t="n">
        <v>15963</v>
      </c>
      <c r="H37" s="69" t="n">
        <v>21889</v>
      </c>
      <c r="I37" s="69" t="n">
        <v>22850</v>
      </c>
      <c r="J37" s="69" t="n">
        <v>26395</v>
      </c>
      <c r="K37" s="69" t="n">
        <v>29074</v>
      </c>
      <c r="L37" s="69" t="n">
        <v>29727</v>
      </c>
      <c r="M37" t="n">
        <v>28222</v>
      </c>
      <c r="N37" s="69" t="n"/>
      <c r="O37" s="69" t="n"/>
      <c r="P37" s="69" t="n"/>
      <c r="Q37" s="69" t="n"/>
      <c r="R37" s="69" t="n"/>
      <c r="S37" s="69" t="n"/>
      <c r="T37" s="69" t="n"/>
      <c r="U37" s="69" t="n"/>
    </row>
    <row r="38" ht="15" customHeight="1" s="74">
      <c r="A38" s="15" t="inlineStr">
        <is>
          <t>Total Current Liabilities</t>
        </is>
      </c>
      <c r="B38" s="68" t="n">
        <v>4390</v>
      </c>
      <c r="C38" s="68" t="n">
        <v>5617</v>
      </c>
      <c r="D38" s="68" t="n">
        <v>7295</v>
      </c>
      <c r="E38" s="68" t="n">
        <v>10067</v>
      </c>
      <c r="F38" s="68" t="n">
        <v>11255</v>
      </c>
      <c r="G38" s="68" t="n">
        <v>14845</v>
      </c>
      <c r="H38" s="68" t="n">
        <v>17728</v>
      </c>
      <c r="I38" s="68" t="n">
        <v>21788</v>
      </c>
      <c r="J38" s="68" t="n">
        <v>25891</v>
      </c>
      <c r="K38" s="68" t="n">
        <v>26631</v>
      </c>
      <c r="L38" s="68" t="n">
        <v>27980</v>
      </c>
      <c r="M38" t="n">
        <v>37118</v>
      </c>
      <c r="N38" s="68" t="n"/>
      <c r="O38" s="68" t="n"/>
      <c r="P38" s="68" t="n"/>
      <c r="Q38" s="68" t="n"/>
      <c r="R38" s="68" t="n"/>
      <c r="S38" s="68" t="n"/>
      <c r="T38" s="68" t="n"/>
      <c r="U38" s="68" t="n"/>
    </row>
    <row r="39" ht="15" customHeight="1" s="74">
      <c r="A39" s="17" t="inlineStr">
        <is>
          <t>Total Assets</t>
        </is>
      </c>
      <c r="B39" s="69" t="n">
        <v>10665</v>
      </c>
      <c r="C39" s="69" t="n">
        <v>12763</v>
      </c>
      <c r="D39" s="69" t="n">
        <v>17585</v>
      </c>
      <c r="E39" s="69" t="n">
        <v>21984</v>
      </c>
      <c r="F39" s="69" t="n">
        <v>30737</v>
      </c>
      <c r="G39" s="69" t="n">
        <v>55126</v>
      </c>
      <c r="H39" s="69" t="n">
        <v>66301</v>
      </c>
      <c r="I39" s="69" t="n">
        <v>95209</v>
      </c>
      <c r="J39" s="69" t="n">
        <v>98849</v>
      </c>
      <c r="K39" s="69" t="n">
        <v>99823</v>
      </c>
      <c r="L39" s="69" t="n">
        <v>102928</v>
      </c>
      <c r="M39" t="n">
        <v>112305</v>
      </c>
      <c r="N39" s="69" t="n"/>
      <c r="O39" s="69" t="n"/>
      <c r="P39" s="69" t="n"/>
      <c r="Q39" s="69" t="n"/>
      <c r="R39" s="69" t="n"/>
      <c r="S39" s="69" t="n"/>
      <c r="T39" s="69" t="n"/>
      <c r="U39" s="69" t="n"/>
    </row>
    <row r="40" ht="15" customHeight="1" s="74">
      <c r="A40" s="15" t="inlineStr">
        <is>
          <t>Total Liabilities</t>
        </is>
      </c>
      <c r="B40" s="68" t="n">
        <v>6690</v>
      </c>
      <c r="C40" s="68" t="n">
        <v>7760</v>
      </c>
      <c r="D40" s="68" t="n">
        <v>10085</v>
      </c>
      <c r="E40" s="68" t="n">
        <v>11608</v>
      </c>
      <c r="F40" s="68" t="n">
        <v>15132</v>
      </c>
      <c r="G40" s="68" t="n">
        <v>21241</v>
      </c>
      <c r="H40" s="68" t="n">
        <v>24808</v>
      </c>
      <c r="I40" s="68" t="n">
        <v>37078</v>
      </c>
      <c r="J40" s="68" t="n">
        <v>40490</v>
      </c>
      <c r="K40" s="68" t="n">
        <v>40177</v>
      </c>
      <c r="L40" s="68" t="n">
        <v>41755</v>
      </c>
      <c r="M40" t="n">
        <v>53163</v>
      </c>
      <c r="N40" s="68" t="n"/>
      <c r="O40" s="68" t="n"/>
      <c r="P40" s="68" t="n"/>
      <c r="Q40" s="68" t="n"/>
      <c r="R40" s="68" t="n"/>
      <c r="S40" s="68" t="n"/>
      <c r="T40" s="68" t="n"/>
      <c r="U40" s="68" t="n"/>
    </row>
    <row r="41" ht="15" customHeight="1" s="74">
      <c r="A41" s="17" t="inlineStr">
        <is>
          <t>Shareholders' Equity</t>
        </is>
      </c>
      <c r="B41" s="69" t="n">
        <v>3975</v>
      </c>
      <c r="C41" s="69" t="n">
        <v>5003</v>
      </c>
      <c r="D41" s="69" t="n">
        <v>7500</v>
      </c>
      <c r="E41" s="69" t="n">
        <v>10376</v>
      </c>
      <c r="F41" s="69" t="n">
        <v>15605</v>
      </c>
      <c r="G41" s="69" t="n">
        <v>33885</v>
      </c>
      <c r="H41" s="69" t="n">
        <v>41493</v>
      </c>
      <c r="I41" s="69" t="n">
        <v>58131</v>
      </c>
      <c r="J41" s="69" t="n">
        <v>58359</v>
      </c>
      <c r="K41" s="69" t="n">
        <v>59646</v>
      </c>
      <c r="L41" s="69" t="n">
        <v>61173</v>
      </c>
      <c r="M41" t="n">
        <v>59142</v>
      </c>
      <c r="N41" s="69" t="n"/>
      <c r="O41" s="69" t="n"/>
      <c r="P41" s="69" t="n"/>
      <c r="Q41" s="69" t="n"/>
      <c r="R41" s="69" t="n"/>
      <c r="S41" s="69" t="n"/>
      <c r="T41" s="69" t="n"/>
      <c r="U41" s="69" t="n"/>
    </row>
    <row r="42" ht="15" customHeight="1" s="74">
      <c r="A42" s="15" t="inlineStr">
        <is>
          <t>Minority Interest</t>
        </is>
      </c>
      <c r="B42" s="68" t="n">
        <v>0</v>
      </c>
      <c r="C42" s="68" t="n">
        <v>0</v>
      </c>
      <c r="D42" s="68" t="n">
        <v>0</v>
      </c>
      <c r="E42" s="68" t="n">
        <v>0</v>
      </c>
      <c r="F42" s="68" t="n">
        <v>0</v>
      </c>
      <c r="G42" s="68" t="n">
        <v>0</v>
      </c>
      <c r="H42" s="68" t="n">
        <v>0</v>
      </c>
      <c r="I42" s="68" t="n">
        <v>0</v>
      </c>
      <c r="J42" s="68" t="n">
        <v>0</v>
      </c>
      <c r="K42" s="68" t="n">
        <v>0</v>
      </c>
      <c r="L42" s="68" t="n">
        <v>0</v>
      </c>
      <c r="M42" t="n">
        <v>0</v>
      </c>
      <c r="N42" s="68" t="n"/>
      <c r="O42" s="68" t="n"/>
      <c r="P42" s="68" t="n"/>
      <c r="Q42" s="68" t="n"/>
      <c r="R42" s="68" t="n"/>
      <c r="S42" s="68" t="n"/>
      <c r="T42" s="68" t="n"/>
      <c r="U42" s="68" t="n"/>
    </row>
    <row r="43" ht="15" customHeight="1" s="74">
      <c r="A43" s="17" t="inlineStr">
        <is>
          <t>Intangible Assets &amp; Goodwill</t>
        </is>
      </c>
      <c r="B43" s="69" t="n">
        <v>3783</v>
      </c>
      <c r="C43" s="69" t="n">
        <v>4340</v>
      </c>
      <c r="D43" s="69" t="n">
        <v>8377</v>
      </c>
      <c r="E43" s="69" t="n">
        <v>8141</v>
      </c>
      <c r="F43" s="69" t="n">
        <v>14774</v>
      </c>
      <c r="G43" s="69" t="n">
        <v>29858</v>
      </c>
      <c r="H43" s="69" t="n">
        <v>30432</v>
      </c>
      <c r="I43" s="69" t="n">
        <v>56915</v>
      </c>
      <c r="J43" s="69" t="n">
        <v>55693</v>
      </c>
      <c r="K43" s="69" t="n">
        <v>53898</v>
      </c>
      <c r="L43" s="69" t="n">
        <v>55711</v>
      </c>
      <c r="M43" t="n">
        <v>64756</v>
      </c>
      <c r="N43" s="69" t="n"/>
      <c r="O43" s="69" t="n"/>
      <c r="P43" s="69" t="n"/>
      <c r="Q43" s="69" t="n"/>
      <c r="R43" s="69" t="n"/>
      <c r="S43" s="69" t="n"/>
      <c r="T43" s="69" t="n"/>
      <c r="U43" s="69" t="n"/>
    </row>
    <row r="44" ht="15" customHeight="1" s="74">
      <c r="A44" s="15" t="inlineStr">
        <is>
          <t>PP&amp;E</t>
        </is>
      </c>
      <c r="B44" s="68" t="n">
        <v>1126</v>
      </c>
      <c r="C44" s="68" t="n">
        <v>1716</v>
      </c>
      <c r="D44" s="68" t="n">
        <v>1788</v>
      </c>
      <c r="E44" s="68" t="n">
        <v>1947</v>
      </c>
      <c r="F44" s="68" t="n">
        <v>2051</v>
      </c>
      <c r="G44" s="68" t="n">
        <v>2375</v>
      </c>
      <c r="H44" s="68" t="n">
        <v>2459</v>
      </c>
      <c r="I44" s="68" t="n">
        <v>2815</v>
      </c>
      <c r="J44" s="68" t="n">
        <v>3702</v>
      </c>
      <c r="K44" s="68" t="n">
        <v>3689</v>
      </c>
      <c r="L44" s="68" t="n">
        <v>3236</v>
      </c>
      <c r="M44" t="n">
        <v>3120</v>
      </c>
      <c r="N44" s="68" t="n"/>
      <c r="O44" s="68" t="n"/>
      <c r="P44" s="68" t="n"/>
      <c r="Q44" s="68" t="n"/>
      <c r="R44" s="68" t="n"/>
      <c r="S44" s="68" t="n"/>
      <c r="T44" s="68" t="n"/>
      <c r="U44" s="68" t="n"/>
    </row>
    <row r="45" ht="15" customHeight="1" s="74">
      <c r="A45" s="17" t="inlineStr">
        <is>
          <t>Receivables</t>
        </is>
      </c>
      <c r="B45" s="69" t="n">
        <v>1906</v>
      </c>
      <c r="C45" s="69" t="n">
        <v>2496</v>
      </c>
      <c r="D45" s="69" t="n">
        <v>3197</v>
      </c>
      <c r="E45" s="69" t="n">
        <v>3921</v>
      </c>
      <c r="F45" s="69" t="n">
        <v>4924</v>
      </c>
      <c r="G45" s="69" t="n">
        <v>6174</v>
      </c>
      <c r="H45" s="69" t="n">
        <v>7786</v>
      </c>
      <c r="I45" s="69" t="n">
        <v>9739</v>
      </c>
      <c r="J45" s="69" t="n">
        <v>10755</v>
      </c>
      <c r="K45" s="69" t="n">
        <v>11414</v>
      </c>
      <c r="L45" s="69" t="n">
        <v>11945</v>
      </c>
      <c r="M45" t="n">
        <v>14339</v>
      </c>
      <c r="N45" s="69" t="n"/>
      <c r="O45" s="69" t="n"/>
      <c r="P45" s="69" t="n"/>
      <c r="Q45" s="69" t="n"/>
      <c r="R45" s="69" t="n"/>
      <c r="S45" s="69" t="n"/>
      <c r="T45" s="69" t="n"/>
      <c r="U45" s="69" t="n"/>
    </row>
    <row r="46" ht="15" customHeight="1" s="74">
      <c r="A46" s="15" t="inlineStr">
        <is>
          <t>Payables</t>
        </is>
      </c>
      <c r="B46" s="68" t="n">
        <v>1103</v>
      </c>
      <c r="C46" s="68" t="n">
        <v>1349</v>
      </c>
      <c r="D46" s="68" t="n">
        <v>1753</v>
      </c>
      <c r="E46" s="68" t="n">
        <v>76</v>
      </c>
      <c r="F46" s="68" t="n">
        <v>2691</v>
      </c>
      <c r="G46" s="68" t="n">
        <v>3433</v>
      </c>
      <c r="H46" s="68" t="n">
        <v>4355</v>
      </c>
      <c r="I46" s="68" t="n">
        <v>5470</v>
      </c>
      <c r="J46" s="68" t="n">
        <v>6743</v>
      </c>
      <c r="K46" s="68" t="n">
        <v>6111</v>
      </c>
      <c r="L46" s="68" t="n">
        <v>6658</v>
      </c>
      <c r="M46" t="n">
        <v>8253</v>
      </c>
      <c r="N46" s="68" t="n"/>
      <c r="O46" s="68" t="n"/>
      <c r="P46" s="68" t="n"/>
      <c r="Q46" s="68" t="n"/>
      <c r="R46" s="68" t="n"/>
      <c r="S46" s="68" t="n"/>
      <c r="T46" s="68" t="n"/>
      <c r="U46" s="68" t="n"/>
    </row>
    <row r="47" ht="15" customHeight="1" s="74">
      <c r="A47" s="17" t="inlineStr">
        <is>
          <t>Inventory</t>
        </is>
      </c>
      <c r="B47" s="69" t="n">
        <v>0</v>
      </c>
      <c r="C47" s="69" t="n">
        <v>0</v>
      </c>
      <c r="D47" s="69" t="n">
        <v>0</v>
      </c>
      <c r="E47" s="69" t="n">
        <v>0</v>
      </c>
      <c r="F47" s="69" t="n">
        <v>0</v>
      </c>
      <c r="G47" s="69" t="n">
        <v>0</v>
      </c>
      <c r="H47" s="69" t="n">
        <v>0</v>
      </c>
      <c r="I47" s="69" t="n">
        <v>0</v>
      </c>
      <c r="J47" s="69" t="n">
        <v>0</v>
      </c>
      <c r="K47" s="69" t="n">
        <v>0</v>
      </c>
      <c r="L47" s="69" t="n">
        <v>0</v>
      </c>
      <c r="M47" t="n">
        <v>0</v>
      </c>
      <c r="N47" s="69" t="n"/>
      <c r="O47" s="69" t="n"/>
      <c r="P47" s="69" t="n"/>
      <c r="Q47" s="69" t="n"/>
      <c r="R47" s="69" t="n"/>
      <c r="S47" s="69" t="n"/>
      <c r="T47" s="69" t="n"/>
      <c r="U47" s="69" t="n"/>
    </row>
    <row r="48" ht="15" customHeight="1" s="74">
      <c r="A48" s="10" t="inlineStr">
        <is>
          <t>Retained Earnings</t>
        </is>
      </c>
      <c r="B48" s="10" t="n">
        <v>-606</v>
      </c>
      <c r="C48" s="10" t="n">
        <v>-653</v>
      </c>
      <c r="D48" s="10" t="n">
        <v>-465</v>
      </c>
      <c r="E48" s="10" t="n">
        <v>635</v>
      </c>
      <c r="F48" s="10" t="n">
        <v>1735</v>
      </c>
      <c r="G48" s="10" t="n">
        <v>1861</v>
      </c>
      <c r="H48" s="10" t="n">
        <v>5933</v>
      </c>
      <c r="I48" s="10" t="n">
        <v>7377</v>
      </c>
      <c r="J48" s="10" t="n">
        <v>7585</v>
      </c>
      <c r="K48" s="10" t="n">
        <v>11721</v>
      </c>
      <c r="L48" s="10" t="n">
        <v>16369</v>
      </c>
      <c r="M48" t="n">
        <v>22221</v>
      </c>
      <c r="N48" s="10" t="n"/>
      <c r="O48" s="10" t="n"/>
      <c r="P48" s="10" t="n"/>
      <c r="Q48" s="10" t="n"/>
      <c r="R48" s="10" t="n"/>
      <c r="S48" s="10" t="n"/>
      <c r="T48" s="10" t="n"/>
      <c r="U48" s="10" t="n"/>
    </row>
    <row r="49" ht="15" customHeight="1" s="74">
      <c r="A49" s="30" t="inlineStr">
        <is>
          <t>CASH FLOW STATEMENT ($M)</t>
        </is>
      </c>
    </row>
    <row r="50" ht="15" customHeight="1" s="74">
      <c r="A50" s="14" t="n"/>
      <c r="B50" s="14" t="inlineStr">
        <is>
          <t>2015</t>
        </is>
      </c>
      <c r="C50" s="14" t="inlineStr">
        <is>
          <t>2016</t>
        </is>
      </c>
      <c r="D50" s="14" t="inlineStr">
        <is>
          <t>2017</t>
        </is>
      </c>
      <c r="E50" s="14" t="inlineStr">
        <is>
          <t>2018</t>
        </is>
      </c>
      <c r="F50" s="14" t="inlineStr">
        <is>
          <t>2019</t>
        </is>
      </c>
      <c r="G50" s="14" t="inlineStr">
        <is>
          <t>2020</t>
        </is>
      </c>
      <c r="H50" s="14" t="inlineStr">
        <is>
          <t>2021</t>
        </is>
      </c>
      <c r="I50" s="14" t="inlineStr">
        <is>
          <t>2022</t>
        </is>
      </c>
      <c r="J50" s="14" t="inlineStr">
        <is>
          <t>2023</t>
        </is>
      </c>
      <c r="K50" s="14" t="inlineStr">
        <is>
          <t>2024</t>
        </is>
      </c>
      <c r="L50" s="14" t="inlineStr">
        <is>
          <t>2025</t>
        </is>
      </c>
      <c r="M50" t="inlineStr">
        <is>
          <t>2026</t>
        </is>
      </c>
      <c r="N50" s="14" t="inlineStr">
        <is>
          <t>Q1'24</t>
        </is>
      </c>
      <c r="O50" s="14" t="inlineStr">
        <is>
          <t>Q2'24</t>
        </is>
      </c>
      <c r="P50" s="14" t="inlineStr">
        <is>
          <t>Q3'24</t>
        </is>
      </c>
      <c r="Q50" s="14" t="inlineStr">
        <is>
          <t>Q4'24</t>
        </is>
      </c>
      <c r="R50" s="14" t="inlineStr">
        <is>
          <t>Q1'25</t>
        </is>
      </c>
      <c r="S50" s="14" t="inlineStr">
        <is>
          <t>Q2'25</t>
        </is>
      </c>
      <c r="T50" s="14" t="inlineStr">
        <is>
          <t>Q3'25</t>
        </is>
      </c>
      <c r="U50" s="14" t="inlineStr">
        <is>
          <t>Q4'25</t>
        </is>
      </c>
    </row>
    <row r="51" ht="15" customHeight="1" s="74">
      <c r="A51" s="17" t="inlineStr">
        <is>
          <t>Cash from Operations</t>
        </is>
      </c>
      <c r="B51" s="69" t="n">
        <v>1181</v>
      </c>
      <c r="C51" s="69" t="n">
        <v>1672</v>
      </c>
      <c r="D51" s="69" t="n">
        <v>2162</v>
      </c>
      <c r="E51" s="69" t="n">
        <v>2738</v>
      </c>
      <c r="F51" s="69" t="n">
        <v>3398</v>
      </c>
      <c r="G51" s="69" t="n">
        <v>4331</v>
      </c>
      <c r="H51" s="69" t="n">
        <v>4801</v>
      </c>
      <c r="I51" s="69" t="n">
        <v>6000</v>
      </c>
      <c r="J51" s="69" t="n">
        <v>7111</v>
      </c>
      <c r="K51" s="69" t="n">
        <v>10234</v>
      </c>
      <c r="L51" s="69" t="n">
        <v>13092</v>
      </c>
      <c r="M51" t="n">
        <v>14996</v>
      </c>
      <c r="N51" s="69" t="n"/>
      <c r="O51" s="69" t="n"/>
      <c r="P51" s="69" t="n"/>
      <c r="Q51" s="69" t="n"/>
      <c r="R51" s="69" t="n"/>
      <c r="S51" s="69" t="n"/>
      <c r="T51" s="69" t="n"/>
      <c r="U51" s="69" t="n"/>
    </row>
    <row r="52" ht="15" customHeight="1" s="74">
      <c r="A52" s="15" t="inlineStr">
        <is>
          <t>Capital Expenditures</t>
        </is>
      </c>
      <c r="B52" s="68" t="n"/>
      <c r="C52" s="68" t="n">
        <v>284</v>
      </c>
      <c r="D52" s="68" t="n">
        <v>464</v>
      </c>
      <c r="E52" s="68" t="n">
        <v>534</v>
      </c>
      <c r="F52" s="68" t="n">
        <v>595</v>
      </c>
      <c r="G52" s="68" t="n">
        <v>643</v>
      </c>
      <c r="H52" s="68" t="n">
        <v>710</v>
      </c>
      <c r="I52" s="68" t="n">
        <v>717</v>
      </c>
      <c r="J52" s="68" t="n">
        <v>798</v>
      </c>
      <c r="K52" s="68" t="n">
        <v>736</v>
      </c>
      <c r="L52" s="68" t="n">
        <v>658</v>
      </c>
      <c r="M52" t="n">
        <v>594</v>
      </c>
      <c r="N52" s="68" t="n"/>
      <c r="O52" s="68" t="n"/>
      <c r="P52" s="68" t="n"/>
      <c r="Q52" s="68" t="n"/>
      <c r="R52" s="68" t="n"/>
      <c r="S52" s="68" t="n"/>
      <c r="T52" s="68" t="n"/>
      <c r="U52" s="68" t="n"/>
    </row>
    <row r="53" ht="15" customHeight="1" s="74">
      <c r="A53" s="17" t="inlineStr">
        <is>
          <t>Free Cash Flow</t>
        </is>
      </c>
      <c r="B53" s="71">
        <f>B51-ABS(B52)</f>
        <v/>
      </c>
      <c r="C53" s="71">
        <f>C51-ABS(C52)</f>
        <v/>
      </c>
      <c r="D53" s="71">
        <f>D51-ABS(D52)</f>
        <v/>
      </c>
      <c r="E53" s="71">
        <f>E51-ABS(E52)</f>
        <v/>
      </c>
      <c r="F53" s="71">
        <f>F51-ABS(F52)</f>
        <v/>
      </c>
      <c r="G53" s="71">
        <f>G51-ABS(G52)</f>
        <v/>
      </c>
      <c r="H53" s="71">
        <f>H51-ABS(H52)</f>
        <v/>
      </c>
      <c r="I53" s="71">
        <f>I51-ABS(I52)</f>
        <v/>
      </c>
      <c r="J53" s="71">
        <f>J51-ABS(J52)</f>
        <v/>
      </c>
      <c r="K53" s="71">
        <f>K51-ABS(K52)</f>
        <v/>
      </c>
      <c r="L53" s="71">
        <f>L51-ABS(L52)</f>
        <v/>
      </c>
      <c r="N53" s="71">
        <f>N51-ABS(N52)</f>
        <v/>
      </c>
      <c r="O53" s="71">
        <f>O51-ABS(O52)</f>
        <v/>
      </c>
      <c r="P53" s="71">
        <f>P51-ABS(P52)</f>
        <v/>
      </c>
      <c r="Q53" s="71">
        <f>Q51-ABS(Q52)</f>
        <v/>
      </c>
      <c r="R53" s="71">
        <f>R51-ABS(R52)</f>
        <v/>
      </c>
      <c r="S53" s="71">
        <f>S51-ABS(S52)</f>
        <v/>
      </c>
      <c r="T53" s="71">
        <f>T51-ABS(T52)</f>
        <v/>
      </c>
      <c r="U53" s="71">
        <f>U51-ABS(U52)</f>
        <v/>
      </c>
    </row>
    <row r="54" ht="15" customHeight="1" s="74">
      <c r="A54" s="15" t="inlineStr">
        <is>
          <t>Stock-Based Compensation</t>
        </is>
      </c>
      <c r="B54" s="68" t="n"/>
      <c r="C54" s="68" t="n"/>
      <c r="D54" s="68" t="n">
        <v>713</v>
      </c>
      <c r="E54" s="68" t="n">
        <v>867</v>
      </c>
      <c r="F54" s="68" t="n">
        <v>1122</v>
      </c>
      <c r="G54" s="68" t="n">
        <v>1793</v>
      </c>
      <c r="H54" s="68" t="n">
        <v>2155</v>
      </c>
      <c r="I54" s="68" t="n">
        <v>2540</v>
      </c>
      <c r="J54" s="68" t="n">
        <v>2023</v>
      </c>
      <c r="K54" s="68" t="n">
        <v>2787</v>
      </c>
      <c r="L54" s="68" t="n">
        <v>3183</v>
      </c>
      <c r="M54" t="n">
        <v>3509</v>
      </c>
      <c r="N54" s="68" t="n"/>
      <c r="O54" s="68" t="n"/>
      <c r="P54" s="68" t="n"/>
      <c r="Q54" s="68" t="n"/>
      <c r="R54" s="68" t="n"/>
      <c r="S54" s="68" t="n"/>
      <c r="T54" s="68" t="n"/>
      <c r="U54" s="68" t="n"/>
    </row>
    <row r="55" ht="15" customHeight="1" s="74">
      <c r="A55" s="17" t="inlineStr">
        <is>
          <t>Dividends Paid</t>
        </is>
      </c>
      <c r="B55" s="69" t="n">
        <v>0</v>
      </c>
      <c r="C55" s="69" t="n">
        <v>0</v>
      </c>
      <c r="D55" s="69" t="n">
        <v>0</v>
      </c>
      <c r="E55" s="69" t="n">
        <v>0</v>
      </c>
      <c r="F55" s="69" t="n">
        <v>0</v>
      </c>
      <c r="G55" s="69" t="n">
        <v>0</v>
      </c>
      <c r="H55" s="69" t="n">
        <v>0</v>
      </c>
      <c r="I55" s="69" t="n">
        <v>0</v>
      </c>
      <c r="J55" s="69" t="n">
        <v>0</v>
      </c>
      <c r="K55" s="69" t="n">
        <v>0</v>
      </c>
      <c r="L55" s="69" t="n">
        <v>-1537</v>
      </c>
      <c r="M55" t="n">
        <v>-1587</v>
      </c>
      <c r="N55" s="69" t="n"/>
      <c r="O55" s="69" t="n"/>
      <c r="P55" s="69" t="n"/>
      <c r="Q55" s="69" t="n"/>
      <c r="R55" s="69" t="n"/>
      <c r="S55" s="69" t="n"/>
      <c r="T55" s="69" t="n"/>
      <c r="U55" s="69" t="n"/>
    </row>
    <row r="56" ht="15" customHeight="1" s="74">
      <c r="A56" s="15" t="inlineStr">
        <is>
          <t>Share Repurchases</t>
        </is>
      </c>
      <c r="B56" s="68" t="n">
        <v>0</v>
      </c>
      <c r="C56" s="68" t="n">
        <v>0</v>
      </c>
      <c r="D56" s="68" t="n">
        <v>0</v>
      </c>
      <c r="E56" s="68" t="n">
        <v>0</v>
      </c>
      <c r="F56" s="68" t="n">
        <v>0</v>
      </c>
      <c r="G56" s="68" t="n">
        <v>0</v>
      </c>
      <c r="H56" s="68" t="n">
        <v>0</v>
      </c>
      <c r="I56" s="68" t="n">
        <v>0</v>
      </c>
      <c r="J56" s="68" t="n">
        <v>-4000</v>
      </c>
      <c r="K56" s="68" t="n">
        <v>-7620</v>
      </c>
      <c r="L56" s="68" t="n">
        <v>-7829</v>
      </c>
      <c r="M56" t="n">
        <v>-12596</v>
      </c>
      <c r="N56" s="68" t="n"/>
      <c r="O56" s="68" t="n"/>
      <c r="P56" s="68" t="n"/>
      <c r="Q56" s="68" t="n"/>
      <c r="R56" s="68" t="n"/>
      <c r="S56" s="68" t="n"/>
      <c r="T56" s="68" t="n"/>
      <c r="U56" s="68" t="n"/>
    </row>
    <row r="57">
      <c r="A57" s="2" t="inlineStr">
        <is>
          <t>Historical Share Price (Period-End)</t>
        </is>
      </c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N57" s="2" t="n"/>
      <c r="O57" s="2" t="n"/>
      <c r="P57" s="2" t="n"/>
      <c r="Q57" s="2" t="n"/>
      <c r="R57" s="2" t="n"/>
      <c r="S57" s="2" t="n"/>
      <c r="T57" s="2" t="n"/>
      <c r="U57" s="2" t="n"/>
    </row>
  </sheetData>
  <mergeCells count="4">
    <mergeCell ref="A12:U12"/>
    <mergeCell ref="A2:U2"/>
    <mergeCell ref="A30:U30"/>
    <mergeCell ref="A49:U49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tabColor rgb="FF1B7A2B"/>
    <outlinePr summaryBelow="1" summaryRight="1"/>
    <pageSetUpPr/>
  </sheetPr>
  <dimension ref="A1:J1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6" sqref="K16"/>
    </sheetView>
  </sheetViews>
  <sheetFormatPr baseColWidth="10" defaultColWidth="8.6640625" defaultRowHeight="15"/>
  <cols>
    <col width="36" customWidth="1" style="74" min="1" max="1"/>
    <col width="14" customWidth="1" style="74" min="2" max="11"/>
  </cols>
  <sheetData>
    <row r="1" ht="54.75" customHeight="1" s="74">
      <c r="A1" s="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15" customHeight="1" s="74">
      <c r="A2" s="10" t="n"/>
      <c r="B2" s="10" t="n"/>
      <c r="C2" s="10" t="n"/>
      <c r="D2" s="10" t="n"/>
      <c r="E2" s="10" t="n"/>
      <c r="F2" s="10" t="n"/>
      <c r="G2" s="10" t="n"/>
      <c r="H2" s="10" t="n"/>
      <c r="I2" s="10" t="n"/>
      <c r="J2" s="10" t="n"/>
    </row>
    <row r="3" ht="15" customHeight="1" s="74">
      <c r="A3" s="30" t="inlineStr">
        <is>
          <t>1. COST OF CAPITAL (WACC)</t>
        </is>
      </c>
    </row>
    <row r="4" ht="15" customHeight="1" s="74">
      <c r="A4" s="39" t="inlineStr">
        <is>
          <t>Risk-Free Rate (10Y UST)</t>
        </is>
      </c>
      <c r="B4" s="76" t="n"/>
      <c r="C4" s="10" t="n"/>
      <c r="D4" s="10" t="n"/>
      <c r="E4" s="10" t="n"/>
      <c r="F4" s="10" t="n"/>
      <c r="G4" s="10" t="n"/>
      <c r="H4" s="10" t="n"/>
      <c r="I4" s="10" t="n"/>
      <c r="J4" s="10" t="n"/>
    </row>
    <row r="5" ht="15" customHeight="1" s="74">
      <c r="A5" s="39" t="inlineStr">
        <is>
          <t>Equity Risk Premium (Damodaran)</t>
        </is>
      </c>
      <c r="B5" s="77" t="n"/>
      <c r="C5" s="2" t="n"/>
      <c r="D5" s="2" t="n"/>
      <c r="E5" s="2" t="n"/>
      <c r="F5" s="2" t="n"/>
      <c r="G5" s="2" t="n"/>
      <c r="H5" s="2" t="n"/>
      <c r="I5" s="2" t="n"/>
      <c r="J5" s="2" t="n"/>
    </row>
    <row r="6" ht="15" customHeight="1" s="74">
      <c r="A6" s="39" t="inlineStr">
        <is>
          <t>Beta (Levered)</t>
        </is>
      </c>
      <c r="B6" s="78" t="n"/>
      <c r="C6" s="10" t="n"/>
      <c r="D6" s="10" t="n"/>
      <c r="E6" s="10" t="n"/>
      <c r="F6" s="10" t="n"/>
      <c r="G6" s="10" t="n"/>
      <c r="H6" s="10" t="n"/>
      <c r="I6" s="10" t="n"/>
      <c r="J6" s="10" t="n"/>
    </row>
    <row r="7" ht="15" customHeight="1" s="74">
      <c r="A7" s="39" t="inlineStr">
        <is>
          <t>Size Premium</t>
        </is>
      </c>
      <c r="B7" s="77" t="n"/>
      <c r="C7" s="2" t="n"/>
      <c r="D7" s="2" t="n"/>
      <c r="E7" s="2" t="n"/>
      <c r="F7" s="2" t="n"/>
      <c r="G7" s="2" t="n"/>
      <c r="H7" s="2" t="n"/>
      <c r="I7" s="2" t="n"/>
      <c r="J7" s="2" t="n"/>
    </row>
    <row r="8" ht="15" customHeight="1" s="74">
      <c r="A8" s="39" t="inlineStr">
        <is>
          <t>Company-Specific Risk Premium</t>
        </is>
      </c>
      <c r="B8" s="76" t="n"/>
      <c r="C8" s="10" t="n"/>
      <c r="D8" s="10" t="n"/>
      <c r="E8" s="10" t="n"/>
      <c r="F8" s="10" t="n"/>
      <c r="G8" s="10" t="n"/>
      <c r="H8" s="10" t="n"/>
      <c r="I8" s="10" t="n"/>
      <c r="J8" s="10" t="n"/>
    </row>
    <row r="9" ht="15" customHeight="1" s="74">
      <c r="A9" s="17" t="inlineStr">
        <is>
          <t>Cost of Equity (Ke)</t>
        </is>
      </c>
      <c r="B9" s="79">
        <f>B4+B6*B5+B7+B8</f>
        <v/>
      </c>
      <c r="C9" s="2" t="n"/>
      <c r="D9" s="2" t="n"/>
      <c r="E9" s="2" t="n"/>
      <c r="F9" s="2" t="n"/>
      <c r="G9" s="2" t="n"/>
      <c r="H9" s="2" t="n"/>
      <c r="I9" s="2" t="n"/>
      <c r="J9" s="2" t="n"/>
    </row>
    <row r="10" ht="15" customHeight="1" s="74">
      <c r="A10" s="39" t="inlineStr">
        <is>
          <t>Pre-tax Cost of Debt (Kd)</t>
        </is>
      </c>
      <c r="B10" s="76" t="n"/>
      <c r="C10" s="10" t="n"/>
      <c r="D10" s="10" t="n"/>
      <c r="E10" s="10" t="n"/>
      <c r="F10" s="10" t="n"/>
      <c r="G10" s="10" t="n"/>
      <c r="H10" s="10" t="n"/>
      <c r="I10" s="10" t="n"/>
      <c r="J10" s="10" t="n"/>
    </row>
    <row r="11" ht="15" customHeight="1" s="74">
      <c r="A11" s="39" t="inlineStr">
        <is>
          <t>Marginal Tax Rate</t>
        </is>
      </c>
      <c r="B11" s="77" t="n"/>
      <c r="C11" s="2" t="n"/>
      <c r="D11" s="2" t="n"/>
      <c r="E11" s="2" t="n"/>
      <c r="F11" s="2" t="n"/>
      <c r="G11" s="2" t="n"/>
      <c r="H11" s="2" t="n"/>
      <c r="I11" s="2" t="n"/>
      <c r="J11" s="2" t="n"/>
    </row>
    <row r="12" ht="15" customHeight="1" s="74">
      <c r="A12" s="15" t="inlineStr">
        <is>
          <t>After-tax Cost of Debt</t>
        </is>
      </c>
      <c r="B12" s="80">
        <f>B10*(1-B11)</f>
        <v/>
      </c>
      <c r="C12" s="10" t="n"/>
      <c r="D12" s="10" t="n"/>
      <c r="E12" s="10" t="n"/>
      <c r="F12" s="10" t="n"/>
      <c r="G12" s="10" t="n"/>
      <c r="H12" s="10" t="n"/>
      <c r="I12" s="10" t="n"/>
      <c r="J12" s="10" t="n"/>
    </row>
    <row r="13" ht="15" customHeight="1" s="74">
      <c r="A13" s="39" t="inlineStr">
        <is>
          <t>Debt / Total Capital (market)</t>
        </is>
      </c>
      <c r="B13" s="77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 ht="15" customHeight="1" s="74">
      <c r="A14" s="15" t="inlineStr">
        <is>
          <t>Equity / Total Capital (market)</t>
        </is>
      </c>
      <c r="B14" s="80">
        <f>1-B13</f>
        <v/>
      </c>
      <c r="C14" s="10" t="n"/>
      <c r="D14" s="10" t="n"/>
      <c r="E14" s="10" t="n"/>
      <c r="F14" s="10" t="n"/>
      <c r="G14" s="10" t="n"/>
      <c r="H14" s="10" t="n"/>
      <c r="I14" s="10" t="n"/>
      <c r="J14" s="10" t="n"/>
    </row>
    <row r="15" ht="15" customHeight="1" s="74">
      <c r="A15" s="17" t="inlineStr">
        <is>
          <t>WACC</t>
        </is>
      </c>
      <c r="B15" s="79">
        <f>B9*B14+B12*B13</f>
        <v/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15" customHeight="1" s="74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</row>
    <row r="17" ht="15" customHeight="1" s="74">
      <c r="A17" s="30" t="inlineStr">
        <is>
          <t>2. DCF MODEL — BASE CASE</t>
        </is>
      </c>
    </row>
    <row r="18" ht="15" customHeight="1" s="74">
      <c r="A18" s="45" t="n"/>
      <c r="B18" s="45" t="inlineStr">
        <is>
          <t>Year 1</t>
        </is>
      </c>
      <c r="C18" s="45" t="inlineStr">
        <is>
          <t>Year 2</t>
        </is>
      </c>
      <c r="D18" s="45" t="inlineStr">
        <is>
          <t>Year 3</t>
        </is>
      </c>
      <c r="E18" s="45" t="inlineStr">
        <is>
          <t>Year 4</t>
        </is>
      </c>
      <c r="F18" s="45" t="inlineStr">
        <is>
          <t>Year 5</t>
        </is>
      </c>
      <c r="G18" s="45" t="inlineStr">
        <is>
          <t>Terminal</t>
        </is>
      </c>
      <c r="H18" s="10" t="n"/>
      <c r="I18" s="10" t="n"/>
      <c r="J18" s="10" t="n"/>
    </row>
    <row r="19" ht="15" customHeight="1" s="74">
      <c r="A19" s="36" t="inlineStr">
        <is>
          <t>─ Assumptions (blue = inputs) ─</t>
        </is>
      </c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 ht="15" customHeight="1" s="74">
      <c r="A20" s="39" t="inlineStr">
        <is>
          <t>Revenue Growth Rate</t>
        </is>
      </c>
      <c r="B20" s="76" t="n"/>
      <c r="C20" s="76" t="n"/>
      <c r="D20" s="76" t="n"/>
      <c r="E20" s="76" t="n"/>
      <c r="F20" s="76" t="n"/>
      <c r="G20" s="10" t="n"/>
      <c r="H20" s="10" t="n"/>
      <c r="I20" s="10" t="n"/>
      <c r="J20" s="10" t="n"/>
    </row>
    <row r="21" ht="15" customHeight="1" s="74">
      <c r="A21" s="39" t="inlineStr">
        <is>
          <t>EBITDA Margin</t>
        </is>
      </c>
      <c r="B21" s="77" t="n"/>
      <c r="C21" s="77" t="n"/>
      <c r="D21" s="77" t="n"/>
      <c r="E21" s="77" t="n"/>
      <c r="F21" s="77" t="n"/>
      <c r="G21" s="2" t="n"/>
      <c r="H21" s="2" t="n"/>
      <c r="I21" s="2" t="n"/>
      <c r="J21" s="2" t="n"/>
    </row>
    <row r="22" ht="15" customHeight="1" s="74">
      <c r="A22" s="39" t="inlineStr">
        <is>
          <t>D&amp;A / Revenue</t>
        </is>
      </c>
      <c r="B22" s="76" t="n"/>
      <c r="C22" s="76" t="n"/>
      <c r="D22" s="76" t="n"/>
      <c r="E22" s="76" t="n"/>
      <c r="F22" s="76" t="n"/>
      <c r="G22" s="10" t="n"/>
      <c r="H22" s="10" t="n"/>
      <c r="I22" s="10" t="n"/>
      <c r="J22" s="10" t="n"/>
    </row>
    <row r="23" ht="15" customHeight="1" s="74">
      <c r="A23" s="39" t="inlineStr">
        <is>
          <t>CapEx / Revenue</t>
        </is>
      </c>
      <c r="B23" s="77" t="n"/>
      <c r="C23" s="77" t="n"/>
      <c r="D23" s="77" t="n"/>
      <c r="E23" s="77" t="n"/>
      <c r="F23" s="77" t="n"/>
      <c r="G23" s="2" t="n"/>
      <c r="H23" s="2" t="n"/>
      <c r="I23" s="2" t="n"/>
      <c r="J23" s="2" t="n"/>
    </row>
    <row r="24" ht="15" customHeight="1" s="74">
      <c r="A24" s="39" t="inlineStr">
        <is>
          <t>Change in NWC / Revenue</t>
        </is>
      </c>
      <c r="B24" s="76" t="n"/>
      <c r="C24" s="76" t="n"/>
      <c r="D24" s="76" t="n"/>
      <c r="E24" s="76" t="n"/>
      <c r="F24" s="76" t="n"/>
      <c r="G24" s="10" t="n"/>
      <c r="H24" s="10" t="n"/>
      <c r="I24" s="10" t="n"/>
      <c r="J24" s="10" t="n"/>
    </row>
    <row r="25" ht="15" customHeight="1" s="74">
      <c r="A25" s="39" t="inlineStr">
        <is>
          <t>Effective Tax Rate</t>
        </is>
      </c>
      <c r="B25" s="77" t="n"/>
      <c r="C25" s="77" t="n"/>
      <c r="D25" s="77" t="n"/>
      <c r="E25" s="77" t="n"/>
      <c r="F25" s="77" t="n"/>
      <c r="G25" s="2" t="n"/>
      <c r="H25" s="2" t="n"/>
      <c r="I25" s="2" t="n"/>
      <c r="J25" s="2" t="n"/>
    </row>
    <row r="26" ht="15" customHeight="1" s="74">
      <c r="A26" s="39" t="inlineStr">
        <is>
          <t>Terminal Growth Rate</t>
        </is>
      </c>
      <c r="B26" s="76" t="n"/>
      <c r="C26" s="76" t="n"/>
      <c r="D26" s="76" t="n"/>
      <c r="E26" s="76" t="n"/>
      <c r="F26" s="76" t="n"/>
      <c r="G26" s="76" t="n"/>
      <c r="H26" s="10" t="n"/>
      <c r="I26" s="10" t="n"/>
      <c r="J26" s="10" t="n"/>
    </row>
    <row r="27" ht="15" customHeight="1" s="74">
      <c r="A27" s="39" t="inlineStr">
        <is>
          <t>Exit EV/EBITDA Multiple</t>
        </is>
      </c>
      <c r="B27" s="46" t="n"/>
      <c r="C27" s="46" t="n"/>
      <c r="D27" s="46" t="n"/>
      <c r="E27" s="46" t="n"/>
      <c r="F27" s="46" t="n"/>
      <c r="G27" s="46" t="n"/>
      <c r="H27" s="2" t="n"/>
      <c r="I27" s="2" t="n"/>
      <c r="J27" s="2" t="n"/>
    </row>
    <row r="28" ht="15" customHeight="1" s="74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0" t="n"/>
      <c r="J28" s="10" t="n"/>
    </row>
    <row r="29" ht="15" customHeight="1" s="74">
      <c r="A29" s="36" t="inlineStr">
        <is>
          <t>─ Projected Financials ($M) ─</t>
        </is>
      </c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</row>
    <row r="30" ht="15" customHeight="1" s="74">
      <c r="A30" s="31" t="inlineStr">
        <is>
          <t>Base Revenue (latest FY)</t>
        </is>
      </c>
      <c r="B30" s="47">
        <f>Data!L14</f>
        <v/>
      </c>
      <c r="C30" s="10" t="n"/>
      <c r="D30" s="10" t="n"/>
      <c r="E30" s="10" t="n"/>
      <c r="F30" s="10" t="n"/>
      <c r="G30" s="10" t="n"/>
      <c r="H30" s="10" t="n"/>
      <c r="I30" s="10" t="n"/>
      <c r="J30" s="10" t="n"/>
    </row>
    <row r="31" ht="15" customHeight="1" s="74">
      <c r="A31" s="17" t="inlineStr">
        <is>
          <t>Projected Revenue</t>
        </is>
      </c>
      <c r="B31" s="48">
        <f>B30*(1+B20)</f>
        <v/>
      </c>
      <c r="C31" s="48">
        <f>B31*(1+C20)</f>
        <v/>
      </c>
      <c r="D31" s="48">
        <f>C31*(1+D20)</f>
        <v/>
      </c>
      <c r="E31" s="48">
        <f>D31*(1+E20)</f>
        <v/>
      </c>
      <c r="F31" s="48">
        <f>E31*(1+F20)</f>
        <v/>
      </c>
      <c r="G31" s="2" t="n"/>
      <c r="H31" s="2" t="n"/>
      <c r="I31" s="2" t="n"/>
      <c r="J31" s="2" t="n"/>
    </row>
    <row r="32" ht="15" customHeight="1" s="74">
      <c r="A32" s="15" t="inlineStr">
        <is>
          <t>Projected EBITDA</t>
        </is>
      </c>
      <c r="B32" s="23">
        <f>B31*B21</f>
        <v/>
      </c>
      <c r="C32" s="23">
        <f>C31*C21</f>
        <v/>
      </c>
      <c r="D32" s="23">
        <f>D31*D21</f>
        <v/>
      </c>
      <c r="E32" s="23">
        <f>E31*E21</f>
        <v/>
      </c>
      <c r="F32" s="23">
        <f>F31*F21</f>
        <v/>
      </c>
      <c r="G32" s="10" t="n"/>
      <c r="H32" s="10" t="n"/>
      <c r="I32" s="10" t="n"/>
      <c r="J32" s="10" t="n"/>
    </row>
    <row r="33" ht="15" customHeight="1" s="74">
      <c r="A33" s="17" t="inlineStr">
        <is>
          <t>Projected D&amp;A</t>
        </is>
      </c>
      <c r="B33" s="48">
        <f>B31*B22</f>
        <v/>
      </c>
      <c r="C33" s="48">
        <f>C31*C22</f>
        <v/>
      </c>
      <c r="D33" s="48">
        <f>D31*D22</f>
        <v/>
      </c>
      <c r="E33" s="48">
        <f>E31*E22</f>
        <v/>
      </c>
      <c r="F33" s="48">
        <f>F31*F22</f>
        <v/>
      </c>
      <c r="G33" s="2" t="n"/>
      <c r="H33" s="2" t="n"/>
      <c r="I33" s="2" t="n"/>
      <c r="J33" s="2" t="n"/>
    </row>
    <row r="34" ht="15" customHeight="1" s="74">
      <c r="A34" s="15" t="inlineStr">
        <is>
          <t>Projected EBIT</t>
        </is>
      </c>
      <c r="B34" s="23">
        <f>B32-B33</f>
        <v/>
      </c>
      <c r="C34" s="23">
        <f>C32-C33</f>
        <v/>
      </c>
      <c r="D34" s="23">
        <f>D32-D33</f>
        <v/>
      </c>
      <c r="E34" s="23">
        <f>E32-E33</f>
        <v/>
      </c>
      <c r="F34" s="23">
        <f>F32-F33</f>
        <v/>
      </c>
      <c r="G34" s="10" t="n"/>
      <c r="H34" s="10" t="n"/>
      <c r="I34" s="10" t="n"/>
      <c r="J34" s="10" t="n"/>
    </row>
    <row r="35" ht="15" customHeight="1" s="74">
      <c r="A35" s="17" t="inlineStr">
        <is>
          <t>Tax on EBIT</t>
        </is>
      </c>
      <c r="B35" s="48">
        <f>B34*B25</f>
        <v/>
      </c>
      <c r="C35" s="48">
        <f>C34*C25</f>
        <v/>
      </c>
      <c r="D35" s="48">
        <f>D34*D25</f>
        <v/>
      </c>
      <c r="E35" s="48">
        <f>E34*E25</f>
        <v/>
      </c>
      <c r="F35" s="48">
        <f>F34*F25</f>
        <v/>
      </c>
      <c r="G35" s="2" t="n"/>
      <c r="H35" s="2" t="n"/>
      <c r="I35" s="2" t="n"/>
      <c r="J35" s="2" t="n"/>
    </row>
    <row r="36" ht="15" customHeight="1" s="74">
      <c r="A36" s="31" t="inlineStr">
        <is>
          <t>NOPAT (EBIT × (1-t))</t>
        </is>
      </c>
      <c r="B36" s="47">
        <f>B34-B35</f>
        <v/>
      </c>
      <c r="C36" s="47">
        <f>C34-C35</f>
        <v/>
      </c>
      <c r="D36" s="47">
        <f>D34-D35</f>
        <v/>
      </c>
      <c r="E36" s="47">
        <f>E34-E35</f>
        <v/>
      </c>
      <c r="F36" s="47">
        <f>F34-F35</f>
        <v/>
      </c>
      <c r="G36" s="10" t="n"/>
      <c r="H36" s="10" t="n"/>
      <c r="I36" s="10" t="n"/>
      <c r="J36" s="10" t="n"/>
    </row>
    <row r="37" ht="15" customHeight="1" s="74">
      <c r="A37" s="17" t="inlineStr">
        <is>
          <t>(+) D&amp;A</t>
        </is>
      </c>
      <c r="B37" s="48">
        <f>B33</f>
        <v/>
      </c>
      <c r="C37" s="48">
        <f>C33</f>
        <v/>
      </c>
      <c r="D37" s="48">
        <f>D33</f>
        <v/>
      </c>
      <c r="E37" s="48">
        <f>E33</f>
        <v/>
      </c>
      <c r="F37" s="48">
        <f>F33</f>
        <v/>
      </c>
      <c r="G37" s="2" t="n"/>
      <c r="H37" s="2" t="n"/>
      <c r="I37" s="2" t="n"/>
      <c r="J37" s="2" t="n"/>
    </row>
    <row r="38" ht="15" customHeight="1" s="74">
      <c r="A38" s="15" t="inlineStr">
        <is>
          <t>(-) Capital Expenditures</t>
        </is>
      </c>
      <c r="B38" s="23">
        <f>-B31*B23</f>
        <v/>
      </c>
      <c r="C38" s="23">
        <f>-C31*C23</f>
        <v/>
      </c>
      <c r="D38" s="23">
        <f>-D31*D23</f>
        <v/>
      </c>
      <c r="E38" s="23">
        <f>-E31*E23</f>
        <v/>
      </c>
      <c r="F38" s="23">
        <f>-F31*F23</f>
        <v/>
      </c>
      <c r="G38" s="10" t="n"/>
      <c r="H38" s="10" t="n"/>
      <c r="I38" s="10" t="n"/>
      <c r="J38" s="10" t="n"/>
    </row>
    <row r="39" ht="15" customHeight="1" s="74">
      <c r="A39" s="17" t="inlineStr">
        <is>
          <t>(-) Change in NWC</t>
        </is>
      </c>
      <c r="B39" s="48">
        <f>-B31*B24</f>
        <v/>
      </c>
      <c r="C39" s="48">
        <f>-C31*C24</f>
        <v/>
      </c>
      <c r="D39" s="48">
        <f>-D31*D24</f>
        <v/>
      </c>
      <c r="E39" s="48">
        <f>-E31*E24</f>
        <v/>
      </c>
      <c r="F39" s="48">
        <f>-F31*F24</f>
        <v/>
      </c>
      <c r="G39" s="2" t="n"/>
      <c r="H39" s="2" t="n"/>
      <c r="I39" s="2" t="n"/>
      <c r="J39" s="2" t="n"/>
    </row>
    <row r="40" ht="15" customHeight="1" s="74">
      <c r="A40" s="31" t="inlineStr">
        <is>
          <t>Unlevered Free Cash Flow (UFCF)</t>
        </is>
      </c>
      <c r="B40" s="47">
        <f>B36+B37+B38+B39</f>
        <v/>
      </c>
      <c r="C40" s="47">
        <f>C36+C37+C38+C39</f>
        <v/>
      </c>
      <c r="D40" s="47">
        <f>D36+D37+D38+D39</f>
        <v/>
      </c>
      <c r="E40" s="47">
        <f>E36+E37+E38+E39</f>
        <v/>
      </c>
      <c r="F40" s="47">
        <f>F36+F37+F38+F39</f>
        <v/>
      </c>
      <c r="G40" s="10" t="n"/>
      <c r="H40" s="10" t="n"/>
      <c r="I40" s="10" t="n"/>
      <c r="J40" s="10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</row>
    <row r="42" ht="15" customHeight="1" s="74">
      <c r="A42" s="37" t="inlineStr">
        <is>
          <t>─ Terminal Value ─</t>
        </is>
      </c>
      <c r="B42" s="10" t="n"/>
      <c r="C42" s="10" t="n"/>
      <c r="D42" s="10" t="n"/>
      <c r="E42" s="10" t="n"/>
      <c r="F42" s="10" t="n"/>
      <c r="G42" s="10" t="n"/>
      <c r="H42" s="10" t="n"/>
      <c r="I42" s="10" t="n"/>
      <c r="J42" s="10" t="n"/>
    </row>
    <row r="43" ht="15" customHeight="1" s="74">
      <c r="A43" s="17" t="inlineStr">
        <is>
          <t>TV: Perpetuity Growth Method</t>
        </is>
      </c>
      <c r="B43" s="48">
        <f>IFERROR(F40*(1+G26)/(B15-G26),"-")</f>
        <v/>
      </c>
      <c r="C43" s="2" t="n"/>
      <c r="D43" s="2" t="n"/>
      <c r="E43" s="2" t="n"/>
      <c r="F43" s="2" t="n"/>
      <c r="G43" s="2" t="n"/>
      <c r="H43" s="2" t="n"/>
      <c r="I43" s="2" t="n"/>
      <c r="J43" s="2" t="n"/>
    </row>
    <row r="44" ht="15" customHeight="1" s="74">
      <c r="A44" s="15" t="inlineStr">
        <is>
          <t>TV: Exit Multiple Method</t>
        </is>
      </c>
      <c r="B44" s="23">
        <f>IFERROR(F32*G27,"-")</f>
        <v/>
      </c>
      <c r="C44" s="10" t="n"/>
      <c r="D44" s="10" t="n"/>
      <c r="E44" s="10" t="n"/>
      <c r="F44" s="10" t="n"/>
      <c r="G44" s="10" t="n"/>
      <c r="H44" s="10" t="n"/>
      <c r="I44" s="10" t="n"/>
      <c r="J44" s="10" t="n"/>
    </row>
    <row r="45" ht="15" customHeight="1" s="74">
      <c r="A45" s="17" t="inlineStr">
        <is>
          <t>TV Divergence (%)</t>
        </is>
      </c>
      <c r="B45" s="81">
        <f>IFERROR(ABS(B43-B44)/((B43+B44)/2),"-")</f>
        <v/>
      </c>
      <c r="C45" s="2" t="n"/>
      <c r="D45" s="2" t="n"/>
      <c r="E45" s="2" t="n"/>
      <c r="F45" s="2" t="n"/>
      <c r="G45" s="2" t="n"/>
      <c r="H45" s="2" t="n"/>
      <c r="I45" s="2" t="n"/>
      <c r="J45" s="2" t="n"/>
    </row>
    <row r="46" ht="15" customHeight="1" s="74">
      <c r="A46" s="31" t="inlineStr">
        <is>
          <t>Selected Terminal Value (avg)</t>
        </is>
      </c>
      <c r="B46" s="47">
        <f>IFERROR((B43+B44)/2,"-")</f>
        <v/>
      </c>
      <c r="C46" s="10" t="n"/>
      <c r="D46" s="10" t="n"/>
      <c r="E46" s="10" t="n"/>
      <c r="F46" s="10" t="n"/>
      <c r="G46" s="10" t="n"/>
      <c r="H46" s="10" t="n"/>
      <c r="I46" s="10" t="n"/>
      <c r="J46" s="10" t="n"/>
    </row>
    <row r="47" ht="15" customHeight="1" s="74">
      <c r="A47" s="17" t="inlineStr">
        <is>
          <t>Implied TV / EBITDA_5</t>
        </is>
      </c>
      <c r="B47" s="49">
        <f>IFERROR(B46/F32,"-")</f>
        <v/>
      </c>
      <c r="C47" s="2" t="n"/>
      <c r="D47" s="2" t="n"/>
      <c r="E47" s="2" t="n"/>
      <c r="F47" s="2" t="n"/>
      <c r="G47" s="2" t="n"/>
      <c r="H47" s="2" t="n"/>
      <c r="I47" s="2" t="n"/>
      <c r="J47" s="2" t="n"/>
    </row>
    <row r="48" ht="15" customHeight="1" s="74">
      <c r="A48" s="15" t="inlineStr">
        <is>
          <t>Terminal Value as % of EV</t>
        </is>
      </c>
      <c r="B48" s="82">
        <f>IFERROR(B54/B55,"-")</f>
        <v/>
      </c>
      <c r="C48" s="10" t="n"/>
      <c r="D48" s="10" t="n"/>
      <c r="E48" s="10" t="n"/>
      <c r="F48" s="10" t="n"/>
      <c r="G48" s="10" t="n"/>
      <c r="H48" s="10" t="n"/>
      <c r="I48" s="10" t="n"/>
      <c r="J48" s="10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</row>
    <row r="50" ht="15" customHeight="1" s="74">
      <c r="A50" s="37" t="inlineStr">
        <is>
          <t>─ Present Value &amp; Equity Bridge ─</t>
        </is>
      </c>
      <c r="B50" s="10" t="n"/>
      <c r="C50" s="10" t="n"/>
      <c r="D50" s="10" t="n"/>
      <c r="E50" s="10" t="n"/>
      <c r="F50" s="10" t="n"/>
      <c r="G50" s="10" t="n"/>
      <c r="H50" s="10" t="n"/>
      <c r="I50" s="10" t="n"/>
      <c r="J50" s="10" t="n"/>
    </row>
    <row r="51" ht="15" customHeight="1" s="74">
      <c r="A51" s="17" t="inlineStr">
        <is>
          <t>Discount Factor (1/(1+WACC)^n)</t>
        </is>
      </c>
      <c r="B51" s="50">
        <f>IFERROR(1/(1+B15)^1,"-")</f>
        <v/>
      </c>
      <c r="C51" s="50">
        <f>IFERROR(1/(1+B15)^2,"-")</f>
        <v/>
      </c>
      <c r="D51" s="50">
        <f>IFERROR(1/(1+B15)^3,"-")</f>
        <v/>
      </c>
      <c r="E51" s="50">
        <f>IFERROR(1/(1+B15)^4,"-")</f>
        <v/>
      </c>
      <c r="F51" s="50">
        <f>IFERROR(1/(1+B15)^5,"-")</f>
        <v/>
      </c>
      <c r="G51" s="2" t="n"/>
      <c r="H51" s="2" t="n"/>
      <c r="I51" s="2" t="n"/>
      <c r="J51" s="2" t="n"/>
    </row>
    <row r="52" ht="15" customHeight="1" s="74">
      <c r="A52" s="15" t="inlineStr">
        <is>
          <t>PV of UFCF</t>
        </is>
      </c>
      <c r="B52" s="23">
        <f>IFERROR(B40*B51,"-")</f>
        <v/>
      </c>
      <c r="C52" s="23">
        <f>IFERROR(C40*C51,"-")</f>
        <v/>
      </c>
      <c r="D52" s="23">
        <f>IFERROR(D40*D51,"-")</f>
        <v/>
      </c>
      <c r="E52" s="23">
        <f>IFERROR(E40*E51,"-")</f>
        <v/>
      </c>
      <c r="F52" s="23">
        <f>IFERROR(F40*F51,"-")</f>
        <v/>
      </c>
      <c r="G52" s="10" t="n"/>
      <c r="H52" s="10" t="n"/>
      <c r="I52" s="10" t="n"/>
      <c r="J52" s="10" t="n"/>
    </row>
    <row r="53" ht="15" customHeight="1" s="74">
      <c r="A53" s="35" t="inlineStr">
        <is>
          <t>Sum of PV of UFCFs</t>
        </is>
      </c>
      <c r="B53" s="51">
        <f>IFERROR(SUM(B52:F52),"-")</f>
        <v/>
      </c>
      <c r="C53" s="2" t="n"/>
      <c r="D53" s="2" t="n"/>
      <c r="E53" s="2" t="n"/>
      <c r="F53" s="2" t="n"/>
      <c r="G53" s="2" t="n"/>
      <c r="H53" s="2" t="n"/>
      <c r="I53" s="2" t="n"/>
      <c r="J53" s="2" t="n"/>
    </row>
    <row r="54" ht="15" customHeight="1" s="74">
      <c r="A54" s="15" t="inlineStr">
        <is>
          <t>PV of Terminal Value</t>
        </is>
      </c>
      <c r="B54" s="23">
        <f>IFERROR(B46*F51,"-")</f>
        <v/>
      </c>
      <c r="C54" s="10" t="n"/>
      <c r="D54" s="10" t="n"/>
      <c r="E54" s="10" t="n"/>
      <c r="F54" s="10" t="n"/>
      <c r="G54" s="10" t="n"/>
      <c r="H54" s="10" t="n"/>
      <c r="I54" s="10" t="n"/>
      <c r="J54" s="10" t="n"/>
    </row>
    <row r="55" ht="15" customHeight="1" s="74">
      <c r="A55" s="35" t="inlineStr">
        <is>
          <t>Enterprise Value (EV)</t>
        </is>
      </c>
      <c r="B55" s="51">
        <f>IFERROR(B53+B54,"-")</f>
        <v/>
      </c>
      <c r="C55" s="2" t="n"/>
      <c r="D55" s="2" t="n"/>
      <c r="E55" s="2" t="n"/>
      <c r="F55" s="2" t="n"/>
      <c r="G55" s="2" t="n"/>
      <c r="H55" s="2" t="n"/>
      <c r="I55" s="2" t="n"/>
      <c r="J55" s="2" t="n"/>
    </row>
    <row r="56" ht="15" customHeight="1" s="74">
      <c r="A56" s="15" t="inlineStr">
        <is>
          <t>(-) Net Debt (latest)</t>
        </is>
      </c>
      <c r="B56" s="23">
        <f>Data!L36</f>
        <v/>
      </c>
      <c r="C56" s="10" t="n"/>
      <c r="D56" s="10" t="n"/>
      <c r="E56" s="10" t="n"/>
      <c r="F56" s="10" t="n"/>
      <c r="G56" s="10" t="n"/>
      <c r="H56" s="10" t="n"/>
      <c r="I56" s="10" t="n"/>
      <c r="J56" s="10" t="n"/>
    </row>
    <row r="57" ht="15" customHeight="1" s="74">
      <c r="A57" s="17" t="inlineStr">
        <is>
          <t>(-) Minority Interest</t>
        </is>
      </c>
      <c r="B57" s="48">
        <f>Data!L42</f>
        <v/>
      </c>
      <c r="C57" s="2" t="n"/>
      <c r="D57" s="2" t="n"/>
      <c r="E57" s="2" t="n"/>
      <c r="F57" s="2" t="n"/>
      <c r="G57" s="2" t="n"/>
      <c r="H57" s="2" t="n"/>
      <c r="I57" s="2" t="n"/>
      <c r="J57" s="2" t="n"/>
    </row>
    <row r="58" ht="15" customHeight="1" s="74">
      <c r="A58" s="39" t="inlineStr">
        <is>
          <t>(+) Non-operating Assets</t>
        </is>
      </c>
      <c r="B58" s="52" t="n"/>
      <c r="C58" s="10" t="n"/>
      <c r="D58" s="10" t="n"/>
      <c r="E58" s="10" t="n"/>
      <c r="F58" s="10" t="n"/>
      <c r="G58" s="10" t="n"/>
      <c r="H58" s="10" t="n"/>
      <c r="I58" s="10" t="n"/>
      <c r="J58" s="10" t="n"/>
    </row>
    <row r="59" ht="15" customHeight="1" s="74">
      <c r="A59" s="35" t="inlineStr">
        <is>
          <t>Equity Value</t>
        </is>
      </c>
      <c r="B59" s="51">
        <f>IFERROR(B55-B56-B57+B58,"-")</f>
        <v/>
      </c>
      <c r="C59" s="2" t="n"/>
      <c r="D59" s="2" t="n"/>
      <c r="E59" s="2" t="n"/>
      <c r="F59" s="2" t="n"/>
      <c r="G59" s="2" t="n"/>
      <c r="H59" s="2" t="n"/>
      <c r="I59" s="2" t="n"/>
      <c r="J59" s="2" t="n"/>
    </row>
    <row r="60" ht="15" customHeight="1" s="74">
      <c r="A60" s="15" t="inlineStr">
        <is>
          <t>Diluted Shares Outstanding (M)</t>
        </is>
      </c>
      <c r="B60" s="83">
        <f>Data!L28</f>
        <v/>
      </c>
      <c r="C60" s="10" t="n"/>
      <c r="D60" s="10" t="n"/>
      <c r="E60" s="10" t="n"/>
      <c r="F60" s="10" t="n"/>
      <c r="G60" s="10" t="n"/>
      <c r="H60" s="10" t="n"/>
      <c r="I60" s="10" t="n"/>
      <c r="J60" s="10" t="n"/>
    </row>
    <row r="61" ht="15" customHeight="1" s="74">
      <c r="A61" s="35" t="inlineStr">
        <is>
          <t>DCF Fair Value / Share</t>
        </is>
      </c>
      <c r="B61" s="6">
        <f>IFERROR(B59/B60,"-")</f>
        <v/>
      </c>
      <c r="C61" s="2" t="n"/>
      <c r="D61" s="2" t="n"/>
      <c r="E61" s="2" t="n"/>
      <c r="F61" s="2" t="n"/>
      <c r="G61" s="2" t="n"/>
      <c r="H61" s="2" t="n"/>
      <c r="I61" s="2" t="n"/>
      <c r="J61" s="2" t="n"/>
    </row>
    <row r="62" ht="15" customHeight="1" s="74">
      <c r="A62" s="15" t="inlineStr">
        <is>
          <t>Upside / Downside vs Price</t>
        </is>
      </c>
      <c r="B62" s="84">
        <f>IFERROR(B61/Data!B8-1,"-")</f>
        <v/>
      </c>
      <c r="C62" s="10" t="n"/>
      <c r="D62" s="10" t="n"/>
      <c r="E62" s="10" t="n"/>
      <c r="F62" s="10" t="n"/>
      <c r="G62" s="10" t="n"/>
      <c r="H62" s="10" t="n"/>
      <c r="I62" s="10" t="n"/>
      <c r="J62" s="10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</row>
    <row r="64" ht="15" customHeight="1" s="74">
      <c r="A64" s="30" t="inlineStr">
        <is>
          <t>3a. DCF — BEAR CASE</t>
        </is>
      </c>
    </row>
    <row r="65" ht="15" customHeight="1" s="74">
      <c r="A65" s="45" t="n"/>
      <c r="B65" s="45" t="inlineStr">
        <is>
          <t>Year 1</t>
        </is>
      </c>
      <c r="C65" s="45" t="inlineStr">
        <is>
          <t>Year 2</t>
        </is>
      </c>
      <c r="D65" s="45" t="inlineStr">
        <is>
          <t>Year 3</t>
        </is>
      </c>
      <c r="E65" s="45" t="inlineStr">
        <is>
          <t>Year 4</t>
        </is>
      </c>
      <c r="F65" s="45" t="inlineStr">
        <is>
          <t>Year 5</t>
        </is>
      </c>
      <c r="G65" s="45" t="inlineStr">
        <is>
          <t>Terminal</t>
        </is>
      </c>
      <c r="H65" s="2" t="n"/>
      <c r="I65" s="2" t="n"/>
      <c r="J65" s="2" t="n"/>
    </row>
    <row r="66" ht="15" customHeight="1" s="74">
      <c r="A66" s="37" t="inlineStr">
        <is>
          <t>─ BEAR Assumptions ─</t>
        </is>
      </c>
      <c r="B66" s="10" t="n"/>
      <c r="C66" s="10" t="n"/>
      <c r="D66" s="10" t="n"/>
      <c r="E66" s="10" t="n"/>
      <c r="F66" s="10" t="n"/>
      <c r="G66" s="10" t="n"/>
      <c r="H66" s="10" t="n"/>
      <c r="I66" s="10" t="n"/>
      <c r="J66" s="10" t="n"/>
    </row>
    <row r="67" ht="15" customHeight="1" s="74">
      <c r="A67" s="39" t="inlineStr">
        <is>
          <t>Revenue Growth Rate</t>
        </is>
      </c>
      <c r="B67" s="77" t="n"/>
      <c r="C67" s="77" t="n"/>
      <c r="D67" s="77" t="n"/>
      <c r="E67" s="77" t="n"/>
      <c r="F67" s="77" t="n"/>
      <c r="G67" s="2" t="n"/>
      <c r="H67" s="2" t="n"/>
      <c r="I67" s="2" t="n"/>
      <c r="J67" s="2" t="n"/>
    </row>
    <row r="68" ht="15" customHeight="1" s="74">
      <c r="A68" s="39" t="inlineStr">
        <is>
          <t>EBITDA Margin</t>
        </is>
      </c>
      <c r="B68" s="76" t="n"/>
      <c r="C68" s="76" t="n"/>
      <c r="D68" s="76" t="n"/>
      <c r="E68" s="76" t="n"/>
      <c r="F68" s="76" t="n"/>
      <c r="G68" s="10" t="n"/>
      <c r="H68" s="10" t="n"/>
      <c r="I68" s="10" t="n"/>
      <c r="J68" s="10" t="n"/>
    </row>
    <row r="69" ht="15" customHeight="1" s="74">
      <c r="A69" s="39" t="inlineStr">
        <is>
          <t>D&amp;A / Revenue</t>
        </is>
      </c>
      <c r="B69" s="77" t="n"/>
      <c r="C69" s="77" t="n"/>
      <c r="D69" s="77" t="n"/>
      <c r="E69" s="77" t="n"/>
      <c r="F69" s="77" t="n"/>
      <c r="G69" s="2" t="n"/>
      <c r="H69" s="2" t="n"/>
      <c r="I69" s="2" t="n"/>
      <c r="J69" s="2" t="n"/>
    </row>
    <row r="70" ht="15" customHeight="1" s="74">
      <c r="A70" s="39" t="inlineStr">
        <is>
          <t>CapEx / Revenue</t>
        </is>
      </c>
      <c r="B70" s="76" t="n"/>
      <c r="C70" s="76" t="n"/>
      <c r="D70" s="76" t="n"/>
      <c r="E70" s="76" t="n"/>
      <c r="F70" s="76" t="n"/>
      <c r="G70" s="10" t="n"/>
      <c r="H70" s="10" t="n"/>
      <c r="I70" s="10" t="n"/>
      <c r="J70" s="10" t="n"/>
    </row>
    <row r="71" ht="15" customHeight="1" s="74">
      <c r="A71" s="39" t="inlineStr">
        <is>
          <t>Change in NWC / Revenue</t>
        </is>
      </c>
      <c r="B71" s="77" t="n"/>
      <c r="C71" s="77" t="n"/>
      <c r="D71" s="77" t="n"/>
      <c r="E71" s="77" t="n"/>
      <c r="F71" s="77" t="n"/>
      <c r="G71" s="2" t="n"/>
      <c r="H71" s="2" t="n"/>
      <c r="I71" s="2" t="n"/>
      <c r="J71" s="2" t="n"/>
    </row>
    <row r="72" ht="15" customHeight="1" s="74">
      <c r="A72" s="39" t="inlineStr">
        <is>
          <t>Effective Tax Rate</t>
        </is>
      </c>
      <c r="B72" s="76" t="n"/>
      <c r="C72" s="76" t="n"/>
      <c r="D72" s="76" t="n"/>
      <c r="E72" s="76" t="n"/>
      <c r="F72" s="76" t="n"/>
      <c r="G72" s="10" t="n"/>
      <c r="H72" s="10" t="n"/>
      <c r="I72" s="10" t="n"/>
      <c r="J72" s="10" t="n"/>
    </row>
    <row r="73" ht="15" customHeight="1" s="74">
      <c r="A73" s="39" t="inlineStr">
        <is>
          <t>Terminal Growth Rate</t>
        </is>
      </c>
      <c r="B73" s="77" t="n"/>
      <c r="C73" s="77" t="n"/>
      <c r="D73" s="77" t="n"/>
      <c r="E73" s="77" t="n"/>
      <c r="F73" s="77" t="n"/>
      <c r="G73" s="77" t="n"/>
      <c r="H73" s="2" t="n"/>
      <c r="I73" s="2" t="n"/>
      <c r="J73" s="2" t="n"/>
    </row>
    <row r="74" ht="15" customHeight="1" s="74">
      <c r="A74" s="39" t="inlineStr">
        <is>
          <t>Exit EV/EBITDA Multiple</t>
        </is>
      </c>
      <c r="B74" s="53" t="n"/>
      <c r="C74" s="53" t="n"/>
      <c r="D74" s="53" t="n"/>
      <c r="E74" s="53" t="n"/>
      <c r="F74" s="53" t="n"/>
      <c r="G74" s="53" t="n"/>
      <c r="H74" s="10" t="n"/>
      <c r="I74" s="10" t="n"/>
      <c r="J74" s="10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</row>
    <row r="76" ht="15" customHeight="1" s="74">
      <c r="A76" s="37" t="inlineStr">
        <is>
          <t>─ BEAR Projected UFCF ─</t>
        </is>
      </c>
      <c r="B76" s="10" t="n"/>
      <c r="C76" s="10" t="n"/>
      <c r="D76" s="10" t="n"/>
      <c r="E76" s="10" t="n"/>
      <c r="F76" s="10" t="n"/>
      <c r="G76" s="10" t="n"/>
      <c r="H76" s="10" t="n"/>
      <c r="I76" s="10" t="n"/>
      <c r="J76" s="10" t="n"/>
    </row>
    <row r="77" ht="15" customHeight="1" s="74">
      <c r="A77" s="17" t="inlineStr">
        <is>
          <t>Projected Revenue</t>
        </is>
      </c>
      <c r="B77" s="48">
        <f>Data!L14*(1+B67)</f>
        <v/>
      </c>
      <c r="C77" s="48">
        <f>B77*(1+C67)</f>
        <v/>
      </c>
      <c r="D77" s="48">
        <f>C77*(1+D67)</f>
        <v/>
      </c>
      <c r="E77" s="48">
        <f>D77*(1+E67)</f>
        <v/>
      </c>
      <c r="F77" s="48">
        <f>E77*(1+F67)</f>
        <v/>
      </c>
      <c r="G77" s="2" t="n"/>
      <c r="H77" s="2" t="n"/>
      <c r="I77" s="2" t="n"/>
      <c r="J77" s="2" t="n"/>
    </row>
    <row r="78" ht="15" customHeight="1" s="74">
      <c r="A78" s="15" t="inlineStr">
        <is>
          <t>Projected EBITDA</t>
        </is>
      </c>
      <c r="B78" s="23">
        <f>B77*B68</f>
        <v/>
      </c>
      <c r="C78" s="23">
        <f>C77*C68</f>
        <v/>
      </c>
      <c r="D78" s="23">
        <f>D77*D68</f>
        <v/>
      </c>
      <c r="E78" s="23">
        <f>E77*E68</f>
        <v/>
      </c>
      <c r="F78" s="23">
        <f>F77*F68</f>
        <v/>
      </c>
      <c r="G78" s="10" t="n"/>
      <c r="H78" s="10" t="n"/>
      <c r="I78" s="10" t="n"/>
      <c r="J78" s="10" t="n"/>
    </row>
    <row r="79" ht="15" customHeight="1" s="74">
      <c r="A79" s="17" t="inlineStr">
        <is>
          <t>Projected EBIT</t>
        </is>
      </c>
      <c r="B79" s="48">
        <f>B78-B77*B69</f>
        <v/>
      </c>
      <c r="C79" s="48">
        <f>C78-C77*C69</f>
        <v/>
      </c>
      <c r="D79" s="48">
        <f>D78-D77*D69</f>
        <v/>
      </c>
      <c r="E79" s="48">
        <f>E78-E77*E69</f>
        <v/>
      </c>
      <c r="F79" s="48">
        <f>F78-F77*F69</f>
        <v/>
      </c>
      <c r="G79" s="2" t="n"/>
      <c r="H79" s="2" t="n"/>
      <c r="I79" s="2" t="n"/>
      <c r="J79" s="2" t="n"/>
    </row>
    <row r="80" ht="15" customHeight="1" s="74">
      <c r="A80" s="31" t="inlineStr">
        <is>
          <t>UFCF</t>
        </is>
      </c>
      <c r="B80" s="47">
        <f>B79*(1-B72)+B77*B69-B77*B70-B77*B71</f>
        <v/>
      </c>
      <c r="C80" s="47">
        <f>C79*(1-C72)+C77*C69-C77*C70-C77*C71</f>
        <v/>
      </c>
      <c r="D80" s="47">
        <f>D79*(1-D72)+D77*D69-D77*D70-D77*D71</f>
        <v/>
      </c>
      <c r="E80" s="47">
        <f>E79*(1-E72)+E77*E69-E77*E70-E77*E71</f>
        <v/>
      </c>
      <c r="F80" s="47">
        <f>F79*(1-F72)+F77*F69-F77*F70-F77*F71</f>
        <v/>
      </c>
      <c r="G80" s="10" t="n"/>
      <c r="H80" s="10" t="n"/>
      <c r="I80" s="10" t="n"/>
      <c r="J80" s="10" t="n"/>
    </row>
    <row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</row>
    <row r="82" ht="15" customHeight="1" s="74">
      <c r="A82" s="15" t="inlineStr">
        <is>
          <t>TV (Perpetuity Growth)</t>
        </is>
      </c>
      <c r="B82" s="23">
        <f>IFERROR(F80*(1+G73)/(B15-G73),"-")</f>
        <v/>
      </c>
      <c r="C82" s="10" t="n"/>
      <c r="D82" s="10" t="n"/>
      <c r="E82" s="10" t="n"/>
      <c r="F82" s="10" t="n"/>
      <c r="G82" s="10" t="n"/>
      <c r="H82" s="10" t="n"/>
      <c r="I82" s="10" t="n"/>
      <c r="J82" s="10" t="n"/>
    </row>
    <row r="83" ht="15" customHeight="1" s="74">
      <c r="A83" s="17" t="inlineStr">
        <is>
          <t>TV (Exit Multiple)</t>
        </is>
      </c>
      <c r="B83" s="48">
        <f>IFERROR(F78*G74,"-")</f>
        <v/>
      </c>
      <c r="C83" s="2" t="n"/>
      <c r="D83" s="2" t="n"/>
      <c r="E83" s="2" t="n"/>
      <c r="F83" s="2" t="n"/>
      <c r="G83" s="2" t="n"/>
      <c r="H83" s="2" t="n"/>
      <c r="I83" s="2" t="n"/>
      <c r="J83" s="2" t="n"/>
    </row>
    <row r="84" ht="15" customHeight="1" s="74">
      <c r="A84" s="15" t="inlineStr">
        <is>
          <t>Selected TV (avg)</t>
        </is>
      </c>
      <c r="B84" s="23">
        <f>IFERROR((B82+B83)/2,"-")</f>
        <v/>
      </c>
      <c r="C84" s="10" t="n"/>
      <c r="D84" s="10" t="n"/>
      <c r="E84" s="10" t="n"/>
      <c r="F84" s="10" t="n"/>
      <c r="G84" s="10" t="n"/>
      <c r="H84" s="10" t="n"/>
      <c r="I84" s="10" t="n"/>
      <c r="J84" s="10" t="n"/>
    </row>
    <row r="85" ht="15" customHeight="1" s="74">
      <c r="A85" s="17" t="inlineStr">
        <is>
          <t>PV of UFCFs</t>
        </is>
      </c>
      <c r="B85" s="48">
        <f>IFERROR(B80/(1+B15)^1+C80/(1+B15)^2+D80/(1+B15)^3+E80/(1+B15)^4+F80/(1+B15)^5,"-")</f>
        <v/>
      </c>
      <c r="C85" s="2" t="n"/>
      <c r="D85" s="2" t="n"/>
      <c r="E85" s="2" t="n"/>
      <c r="F85" s="2" t="n"/>
      <c r="G85" s="2" t="n"/>
      <c r="H85" s="2" t="n"/>
      <c r="I85" s="2" t="n"/>
      <c r="J85" s="2" t="n"/>
    </row>
    <row r="86" ht="15" customHeight="1" s="74">
      <c r="A86" s="15" t="inlineStr">
        <is>
          <t>PV of Terminal Value</t>
        </is>
      </c>
      <c r="B86" s="23">
        <f>IFERROR(B84/(1+B15)^5,"-")</f>
        <v/>
      </c>
      <c r="C86" s="10" t="n"/>
      <c r="D86" s="10" t="n"/>
      <c r="E86" s="10" t="n"/>
      <c r="F86" s="10" t="n"/>
      <c r="G86" s="10" t="n"/>
      <c r="H86" s="10" t="n"/>
      <c r="I86" s="10" t="n"/>
      <c r="J86" s="10" t="n"/>
    </row>
    <row r="87" ht="15" customHeight="1" s="74">
      <c r="A87" s="17" t="inlineStr">
        <is>
          <t>Enterprise Value</t>
        </is>
      </c>
      <c r="B87" s="48">
        <f>IFERROR(B85+B86,"-")</f>
        <v/>
      </c>
      <c r="C87" s="2" t="n"/>
      <c r="D87" s="2" t="n"/>
      <c r="E87" s="2" t="n"/>
      <c r="F87" s="2" t="n"/>
      <c r="G87" s="2" t="n"/>
      <c r="H87" s="2" t="n"/>
      <c r="I87" s="2" t="n"/>
      <c r="J87" s="2" t="n"/>
    </row>
    <row r="88" ht="15" customHeight="1" s="74">
      <c r="A88" s="31" t="inlineStr">
        <is>
          <t>BEAR DCF Fair Value / Share</t>
        </is>
      </c>
      <c r="B88" s="7">
        <f>IFERROR((B87-B56-B57+B58)/B60,"-")</f>
        <v/>
      </c>
      <c r="C88" s="10" t="n"/>
      <c r="D88" s="10" t="n"/>
      <c r="E88" s="10" t="n"/>
      <c r="F88" s="10" t="n"/>
      <c r="G88" s="10" t="n"/>
      <c r="H88" s="10" t="n"/>
      <c r="I88" s="10" t="n"/>
      <c r="J88" s="10" t="n"/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</row>
    <row r="90" ht="15" customHeight="1" s="74">
      <c r="A90" s="30" t="inlineStr">
        <is>
          <t>3b. DCF — BULL CASE</t>
        </is>
      </c>
    </row>
    <row r="91" ht="15" customHeight="1" s="74">
      <c r="A91" s="45" t="n"/>
      <c r="B91" s="45" t="inlineStr">
        <is>
          <t>Year 1</t>
        </is>
      </c>
      <c r="C91" s="45" t="inlineStr">
        <is>
          <t>Year 2</t>
        </is>
      </c>
      <c r="D91" s="45" t="inlineStr">
        <is>
          <t>Year 3</t>
        </is>
      </c>
      <c r="E91" s="45" t="inlineStr">
        <is>
          <t>Year 4</t>
        </is>
      </c>
      <c r="F91" s="45" t="inlineStr">
        <is>
          <t>Year 5</t>
        </is>
      </c>
      <c r="G91" s="45" t="inlineStr">
        <is>
          <t>Terminal</t>
        </is>
      </c>
      <c r="H91" s="2" t="n"/>
      <c r="I91" s="2" t="n"/>
      <c r="J91" s="2" t="n"/>
    </row>
    <row r="92" ht="15" customHeight="1" s="74">
      <c r="A92" s="37" t="inlineStr">
        <is>
          <t>─ BULL Assumptions ─</t>
        </is>
      </c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</row>
    <row r="93" ht="15" customHeight="1" s="74">
      <c r="A93" s="39" t="inlineStr">
        <is>
          <t>Revenue Growth Rate</t>
        </is>
      </c>
      <c r="B93" s="77" t="n"/>
      <c r="C93" s="77" t="n"/>
      <c r="D93" s="77" t="n"/>
      <c r="E93" s="77" t="n"/>
      <c r="F93" s="77" t="n"/>
      <c r="G93" s="2" t="n"/>
      <c r="H93" s="2" t="n"/>
      <c r="I93" s="2" t="n"/>
      <c r="J93" s="2" t="n"/>
    </row>
    <row r="94" ht="15" customHeight="1" s="74">
      <c r="A94" s="39" t="inlineStr">
        <is>
          <t>EBITDA Margin</t>
        </is>
      </c>
      <c r="B94" s="76" t="n"/>
      <c r="C94" s="76" t="n"/>
      <c r="D94" s="76" t="n"/>
      <c r="E94" s="76" t="n"/>
      <c r="F94" s="76" t="n"/>
      <c r="G94" s="10" t="n"/>
      <c r="H94" s="10" t="n"/>
      <c r="I94" s="10" t="n"/>
      <c r="J94" s="10" t="n"/>
    </row>
    <row r="95" ht="15" customHeight="1" s="74">
      <c r="A95" s="39" t="inlineStr">
        <is>
          <t>D&amp;A / Revenue</t>
        </is>
      </c>
      <c r="B95" s="77" t="n"/>
      <c r="C95" s="77" t="n"/>
      <c r="D95" s="77" t="n"/>
      <c r="E95" s="77" t="n"/>
      <c r="F95" s="77" t="n"/>
      <c r="G95" s="2" t="n"/>
      <c r="H95" s="2" t="n"/>
      <c r="I95" s="2" t="n"/>
      <c r="J95" s="2" t="n"/>
    </row>
    <row r="96" ht="15" customHeight="1" s="74">
      <c r="A96" s="39" t="inlineStr">
        <is>
          <t>CapEx / Revenue</t>
        </is>
      </c>
      <c r="B96" s="76" t="n"/>
      <c r="C96" s="76" t="n"/>
      <c r="D96" s="76" t="n"/>
      <c r="E96" s="76" t="n"/>
      <c r="F96" s="76" t="n"/>
      <c r="G96" s="10" t="n"/>
      <c r="H96" s="10" t="n"/>
      <c r="I96" s="10" t="n"/>
      <c r="J96" s="10" t="n"/>
    </row>
    <row r="97" ht="15" customHeight="1" s="74">
      <c r="A97" s="39" t="inlineStr">
        <is>
          <t>Change in NWC / Revenue</t>
        </is>
      </c>
      <c r="B97" s="77" t="n"/>
      <c r="C97" s="77" t="n"/>
      <c r="D97" s="77" t="n"/>
      <c r="E97" s="77" t="n"/>
      <c r="F97" s="77" t="n"/>
      <c r="G97" s="2" t="n"/>
      <c r="H97" s="2" t="n"/>
      <c r="I97" s="2" t="n"/>
      <c r="J97" s="2" t="n"/>
    </row>
    <row r="98" ht="15" customHeight="1" s="74">
      <c r="A98" s="39" t="inlineStr">
        <is>
          <t>Effective Tax Rate</t>
        </is>
      </c>
      <c r="B98" s="76" t="n"/>
      <c r="C98" s="76" t="n"/>
      <c r="D98" s="76" t="n"/>
      <c r="E98" s="76" t="n"/>
      <c r="F98" s="76" t="n"/>
      <c r="G98" s="10" t="n"/>
      <c r="H98" s="10" t="n"/>
      <c r="I98" s="10" t="n"/>
      <c r="J98" s="10" t="n"/>
    </row>
    <row r="99" ht="15" customHeight="1" s="74">
      <c r="A99" s="39" t="inlineStr">
        <is>
          <t>Terminal Growth Rate</t>
        </is>
      </c>
      <c r="B99" s="77" t="n"/>
      <c r="C99" s="77" t="n"/>
      <c r="D99" s="77" t="n"/>
      <c r="E99" s="77" t="n"/>
      <c r="F99" s="77" t="n"/>
      <c r="G99" s="77" t="n"/>
      <c r="H99" s="2" t="n"/>
      <c r="I99" s="2" t="n"/>
      <c r="J99" s="2" t="n"/>
    </row>
    <row r="100" ht="15" customHeight="1" s="74">
      <c r="A100" s="39" t="inlineStr">
        <is>
          <t>Exit EV/EBITDA Multiple</t>
        </is>
      </c>
      <c r="B100" s="53" t="n"/>
      <c r="C100" s="53" t="n"/>
      <c r="D100" s="53" t="n"/>
      <c r="E100" s="53" t="n"/>
      <c r="F100" s="53" t="n"/>
      <c r="G100" s="53" t="n"/>
      <c r="H100" s="10" t="n"/>
      <c r="I100" s="10" t="n"/>
      <c r="J100" s="10" t="n"/>
    </row>
    <row r="101">
      <c r="A101" s="2" t="n"/>
      <c r="B101" s="2" t="n"/>
      <c r="C101" s="2" t="n"/>
      <c r="D101" s="2" t="n"/>
      <c r="E101" s="2" t="n"/>
      <c r="F101" s="2" t="n"/>
      <c r="G101" s="2" t="n"/>
      <c r="H101" s="2" t="n"/>
      <c r="I101" s="2" t="n"/>
      <c r="J101" s="2" t="n"/>
    </row>
    <row r="102" ht="15" customHeight="1" s="74">
      <c r="A102" s="37" t="inlineStr">
        <is>
          <t>─ BULL Projected UFCF ─</t>
        </is>
      </c>
      <c r="B102" s="10" t="n"/>
      <c r="C102" s="10" t="n"/>
      <c r="D102" s="10" t="n"/>
      <c r="E102" s="10" t="n"/>
      <c r="F102" s="10" t="n"/>
      <c r="G102" s="10" t="n"/>
      <c r="H102" s="10" t="n"/>
      <c r="I102" s="10" t="n"/>
      <c r="J102" s="10" t="n"/>
    </row>
    <row r="103" ht="15" customHeight="1" s="74">
      <c r="A103" s="17" t="inlineStr">
        <is>
          <t>Projected Revenue</t>
        </is>
      </c>
      <c r="B103" s="48">
        <f>Data!L14*(1+B93)</f>
        <v/>
      </c>
      <c r="C103" s="48">
        <f>B103*(1+C93)</f>
        <v/>
      </c>
      <c r="D103" s="48">
        <f>C103*(1+D93)</f>
        <v/>
      </c>
      <c r="E103" s="48">
        <f>D103*(1+E93)</f>
        <v/>
      </c>
      <c r="F103" s="48">
        <f>E103*(1+F93)</f>
        <v/>
      </c>
      <c r="G103" s="2" t="n"/>
      <c r="H103" s="2" t="n"/>
      <c r="I103" s="2" t="n"/>
      <c r="J103" s="2" t="n"/>
    </row>
    <row r="104" ht="15" customHeight="1" s="74">
      <c r="A104" s="15" t="inlineStr">
        <is>
          <t>Projected EBITDA</t>
        </is>
      </c>
      <c r="B104" s="23">
        <f>B103*B94</f>
        <v/>
      </c>
      <c r="C104" s="23">
        <f>C103*C94</f>
        <v/>
      </c>
      <c r="D104" s="23">
        <f>D103*D94</f>
        <v/>
      </c>
      <c r="E104" s="23">
        <f>E103*E94</f>
        <v/>
      </c>
      <c r="F104" s="23">
        <f>F103*F94</f>
        <v/>
      </c>
      <c r="G104" s="10" t="n"/>
      <c r="H104" s="10" t="n"/>
      <c r="I104" s="10" t="n"/>
      <c r="J104" s="10" t="n"/>
    </row>
    <row r="105" ht="15" customHeight="1" s="74">
      <c r="A105" s="17" t="inlineStr">
        <is>
          <t>Projected EBIT</t>
        </is>
      </c>
      <c r="B105" s="48">
        <f>B104-B103*B95</f>
        <v/>
      </c>
      <c r="C105" s="48">
        <f>C104-C103*C95</f>
        <v/>
      </c>
      <c r="D105" s="48">
        <f>D104-D103*D95</f>
        <v/>
      </c>
      <c r="E105" s="48">
        <f>E104-E103*E95</f>
        <v/>
      </c>
      <c r="F105" s="48">
        <f>F104-F103*F95</f>
        <v/>
      </c>
      <c r="G105" s="2" t="n"/>
      <c r="H105" s="2" t="n"/>
      <c r="I105" s="2" t="n"/>
      <c r="J105" s="2" t="n"/>
    </row>
    <row r="106" ht="15" customHeight="1" s="74">
      <c r="A106" s="31" t="inlineStr">
        <is>
          <t>UFCF</t>
        </is>
      </c>
      <c r="B106" s="47">
        <f>B105*(1-B98)+B103*B95-B103*B96-B103*B97</f>
        <v/>
      </c>
      <c r="C106" s="47">
        <f>C105*(1-C98)+C103*C95-C103*C96-C103*C97</f>
        <v/>
      </c>
      <c r="D106" s="47">
        <f>D105*(1-D98)+D103*D95-D103*D96-D103*D97</f>
        <v/>
      </c>
      <c r="E106" s="47">
        <f>E105*(1-E98)+E103*E95-E103*E96-E103*E97</f>
        <v/>
      </c>
      <c r="F106" s="47">
        <f>F105*(1-F98)+F103*F95-F103*F96-F103*F97</f>
        <v/>
      </c>
      <c r="G106" s="10" t="n"/>
      <c r="H106" s="10" t="n"/>
      <c r="I106" s="10" t="n"/>
      <c r="J106" s="10" t="n"/>
    </row>
    <row r="107">
      <c r="A107" s="2" t="n"/>
      <c r="B107" s="2" t="n"/>
      <c r="C107" s="2" t="n"/>
      <c r="D107" s="2" t="n"/>
      <c r="E107" s="2" t="n"/>
      <c r="F107" s="2" t="n"/>
      <c r="G107" s="2" t="n"/>
      <c r="H107" s="2" t="n"/>
      <c r="I107" s="2" t="n"/>
      <c r="J107" s="2" t="n"/>
    </row>
    <row r="108" ht="15" customHeight="1" s="74">
      <c r="A108" s="15" t="inlineStr">
        <is>
          <t>TV (Perpetuity Growth)</t>
        </is>
      </c>
      <c r="B108" s="23">
        <f>IFERROR(F106*(1+G99)/(B15-G99),"-")</f>
        <v/>
      </c>
      <c r="C108" s="10" t="n"/>
      <c r="D108" s="10" t="n"/>
      <c r="E108" s="10" t="n"/>
      <c r="F108" s="10" t="n"/>
      <c r="G108" s="10" t="n"/>
      <c r="H108" s="10" t="n"/>
      <c r="I108" s="10" t="n"/>
      <c r="J108" s="10" t="n"/>
    </row>
    <row r="109" ht="15" customHeight="1" s="74">
      <c r="A109" s="17" t="inlineStr">
        <is>
          <t>TV (Exit Multiple)</t>
        </is>
      </c>
      <c r="B109" s="48">
        <f>IFERROR(F104*G100,"-")</f>
        <v/>
      </c>
      <c r="C109" s="2" t="n"/>
      <c r="D109" s="2" t="n"/>
      <c r="E109" s="2" t="n"/>
      <c r="F109" s="2" t="n"/>
      <c r="G109" s="2" t="n"/>
      <c r="H109" s="2" t="n"/>
      <c r="I109" s="2" t="n"/>
      <c r="J109" s="2" t="n"/>
    </row>
    <row r="110" ht="15" customHeight="1" s="74">
      <c r="A110" s="15" t="inlineStr">
        <is>
          <t>Selected TV (avg)</t>
        </is>
      </c>
      <c r="B110" s="23">
        <f>IFERROR((B108+B109)/2,"-")</f>
        <v/>
      </c>
      <c r="C110" s="10" t="n"/>
      <c r="D110" s="10" t="n"/>
      <c r="E110" s="10" t="n"/>
      <c r="F110" s="10" t="n"/>
      <c r="G110" s="10" t="n"/>
      <c r="H110" s="10" t="n"/>
      <c r="I110" s="10" t="n"/>
      <c r="J110" s="10" t="n"/>
    </row>
    <row r="111" ht="15" customHeight="1" s="74">
      <c r="A111" s="17" t="inlineStr">
        <is>
          <t>PV of UFCFs</t>
        </is>
      </c>
      <c r="B111" s="48">
        <f>IFERROR(B106/(1+B15)^1+C106/(1+B15)^2+D106/(1+B15)^3+E106/(1+B15)^4+F106/(1+B15)^5,"-")</f>
        <v/>
      </c>
      <c r="C111" s="2" t="n"/>
      <c r="D111" s="2" t="n"/>
      <c r="E111" s="2" t="n"/>
      <c r="F111" s="2" t="n"/>
      <c r="G111" s="2" t="n"/>
      <c r="H111" s="2" t="n"/>
      <c r="I111" s="2" t="n"/>
      <c r="J111" s="2" t="n"/>
    </row>
    <row r="112" ht="15" customHeight="1" s="74">
      <c r="A112" s="15" t="inlineStr">
        <is>
          <t>PV of Terminal Value</t>
        </is>
      </c>
      <c r="B112" s="23">
        <f>IFERROR(B110/(1+B15)^5,"-")</f>
        <v/>
      </c>
      <c r="C112" s="10" t="n"/>
      <c r="D112" s="10" t="n"/>
      <c r="E112" s="10" t="n"/>
      <c r="F112" s="10" t="n"/>
      <c r="G112" s="10" t="n"/>
      <c r="H112" s="10" t="n"/>
      <c r="I112" s="10" t="n"/>
      <c r="J112" s="10" t="n"/>
    </row>
    <row r="113" ht="15" customHeight="1" s="74">
      <c r="A113" s="17" t="inlineStr">
        <is>
          <t>Enterprise Value</t>
        </is>
      </c>
      <c r="B113" s="48">
        <f>IFERROR(B111+B112,"-")</f>
        <v/>
      </c>
      <c r="C113" s="2" t="n"/>
      <c r="D113" s="2" t="n"/>
      <c r="E113" s="2" t="n"/>
      <c r="F113" s="2" t="n"/>
      <c r="G113" s="2" t="n"/>
      <c r="H113" s="2" t="n"/>
      <c r="I113" s="2" t="n"/>
      <c r="J113" s="2" t="n"/>
    </row>
    <row r="114" ht="15" customHeight="1" s="74">
      <c r="A114" s="31" t="inlineStr">
        <is>
          <t>BULL DCF Fair Value / Share</t>
        </is>
      </c>
      <c r="B114" s="7">
        <f>IFERROR((B113-B56-B57+B58)/B60,"-")</f>
        <v/>
      </c>
      <c r="C114" s="10" t="n"/>
      <c r="D114" s="10" t="n"/>
      <c r="E114" s="10" t="n"/>
      <c r="F114" s="10" t="n"/>
      <c r="G114" s="10" t="n"/>
      <c r="H114" s="10" t="n"/>
      <c r="I114" s="10" t="n"/>
      <c r="J114" s="10" t="n"/>
    </row>
    <row r="115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</row>
    <row r="116" ht="15" customHeight="1" s="74">
      <c r="A116" s="30" t="inlineStr">
        <is>
          <t>4. MULTIPLES-BASED VALUATION</t>
        </is>
      </c>
    </row>
    <row r="117" ht="21.75" customHeight="1" s="74">
      <c r="A117" s="45" t="inlineStr">
        <is>
          <t>Method</t>
        </is>
      </c>
      <c r="B117" s="45" t="inlineStr">
        <is>
          <t>Company Metric</t>
        </is>
      </c>
      <c r="C117" s="45" t="inlineStr">
        <is>
          <t>Target Multiple</t>
        </is>
      </c>
      <c r="D117" s="45" t="inlineStr">
        <is>
          <t>Implied EV or Equity</t>
        </is>
      </c>
      <c r="E117" s="45" t="inlineStr">
        <is>
          <t>Per Share FV</t>
        </is>
      </c>
      <c r="F117" s="2" t="n"/>
      <c r="G117" s="2" t="n"/>
      <c r="H117" s="2" t="n"/>
      <c r="I117" s="2" t="n"/>
      <c r="J117" s="2" t="n"/>
    </row>
    <row r="118" ht="15" customHeight="1" s="74">
      <c r="A118" s="39" t="inlineStr">
        <is>
          <t>P/E × EPS</t>
        </is>
      </c>
      <c r="B118" s="28">
        <f>Data!L27</f>
        <v/>
      </c>
      <c r="C118" s="53" t="n"/>
      <c r="D118" s="23">
        <f>IFERROR(B118*C118*B60,"-")</f>
        <v/>
      </c>
      <c r="E118" s="28">
        <f>IFERROR(B118*C118,"-")</f>
        <v/>
      </c>
      <c r="F118" s="10" t="n"/>
      <c r="G118" s="10" t="n"/>
      <c r="H118" s="10" t="n"/>
      <c r="I118" s="10" t="n"/>
      <c r="J118" s="10" t="n"/>
    </row>
    <row r="119" ht="15" customHeight="1" s="74">
      <c r="A119" s="39" t="inlineStr">
        <is>
          <t>EV/EBITDA × EBITDA</t>
        </is>
      </c>
      <c r="B119" s="48">
        <f>Data!L20</f>
        <v/>
      </c>
      <c r="C119" s="46" t="n"/>
      <c r="D119" s="48">
        <f>IFERROR(B119*C119,"-")</f>
        <v/>
      </c>
      <c r="E119" s="29">
        <f>IFERROR((B119*C119-Data!L36-Data!L42+B58)/B60,"-")</f>
        <v/>
      </c>
      <c r="F119" s="2" t="n"/>
      <c r="G119" s="2" t="n"/>
      <c r="H119" s="2" t="n"/>
      <c r="I119" s="2" t="n"/>
      <c r="J119" s="2" t="n"/>
    </row>
    <row r="120" ht="15" customHeight="1" s="74">
      <c r="A120" s="39" t="inlineStr">
        <is>
          <t>EV/EBIT × EBIT</t>
        </is>
      </c>
      <c r="B120" s="23">
        <f>Data!L22</f>
        <v/>
      </c>
      <c r="C120" s="53" t="n"/>
      <c r="D120" s="23">
        <f>IFERROR(B120*C120,"-")</f>
        <v/>
      </c>
      <c r="E120" s="28">
        <f>IFERROR((B120*C120-Data!L36-Data!L42+B58)/B60,"-")</f>
        <v/>
      </c>
      <c r="F120" s="10" t="n"/>
      <c r="G120" s="10" t="n"/>
      <c r="H120" s="10" t="n"/>
      <c r="I120" s="10" t="n"/>
      <c r="J120" s="10" t="n"/>
    </row>
    <row r="121" ht="15" customHeight="1" s="74">
      <c r="A121" s="39" t="inlineStr">
        <is>
          <t>P/FCF × FCF/Share</t>
        </is>
      </c>
      <c r="B121" s="29">
        <f>IFERROR(Data!L53/Data!L28,"-")</f>
        <v/>
      </c>
      <c r="C121" s="46" t="n"/>
      <c r="D121" s="48">
        <f>IFERROR(B121*C121*B60,"-")</f>
        <v/>
      </c>
      <c r="E121" s="29">
        <f>IFERROR(B121*C121,"-")</f>
        <v/>
      </c>
      <c r="F121" s="2" t="n"/>
      <c r="G121" s="2" t="n"/>
      <c r="H121" s="2" t="n"/>
      <c r="I121" s="2" t="n"/>
      <c r="J121" s="2" t="n"/>
    </row>
    <row r="122" ht="15" customHeight="1" s="74">
      <c r="A122" s="39" t="inlineStr">
        <is>
          <t>FCF Yield → Price</t>
        </is>
      </c>
      <c r="B122" s="28">
        <f>IFERROR(Data!L53/Data!L28,"-")</f>
        <v/>
      </c>
      <c r="C122" s="76" t="n"/>
      <c r="D122" s="23">
        <f>IFERROR(B122/C122*B60,"-")</f>
        <v/>
      </c>
      <c r="E122" s="28">
        <f>IFERROR(B122/C122,"-")</f>
        <v/>
      </c>
      <c r="F122" s="10" t="n"/>
      <c r="G122" s="10" t="n"/>
      <c r="H122" s="10" t="n"/>
      <c r="I122" s="10" t="n"/>
      <c r="J122" s="10" t="n"/>
    </row>
    <row r="123">
      <c r="A123" s="2" t="n"/>
      <c r="B123" s="2" t="n"/>
      <c r="C123" s="2" t="n"/>
      <c r="D123" s="2" t="n"/>
      <c r="E123" s="2" t="n"/>
      <c r="F123" s="2" t="n"/>
      <c r="G123" s="2" t="n"/>
      <c r="H123" s="2" t="n"/>
      <c r="I123" s="2" t="n"/>
      <c r="J123" s="2" t="n"/>
    </row>
    <row r="124" ht="15" customHeight="1" s="74">
      <c r="A124" s="30" t="inlineStr">
        <is>
          <t>5. REVERSE DCF — IMPLIED GROWTH AT CURRENT PRICE</t>
        </is>
      </c>
    </row>
    <row r="125" ht="15" customHeight="1" s="74">
      <c r="A125" s="17" t="inlineStr">
        <is>
          <t>Current Market Cap ($M)</t>
        </is>
      </c>
      <c r="B125" s="48">
        <f>Data!B8*Data!L28</f>
        <v/>
      </c>
      <c r="C125" s="2" t="n"/>
      <c r="D125" s="2" t="n"/>
      <c r="E125" s="2" t="n"/>
      <c r="F125" s="2" t="n"/>
      <c r="G125" s="2" t="n"/>
      <c r="H125" s="2" t="n"/>
      <c r="I125" s="2" t="n"/>
      <c r="J125" s="2" t="n"/>
    </row>
    <row r="126" ht="15" customHeight="1" s="74">
      <c r="A126" s="15" t="inlineStr">
        <is>
          <t>Current Enterprise Value ($M)</t>
        </is>
      </c>
      <c r="B126" s="23">
        <f>B125+Data!L36+Data!L42</f>
        <v/>
      </c>
      <c r="C126" s="10" t="n"/>
      <c r="D126" s="10" t="n"/>
      <c r="E126" s="10" t="n"/>
      <c r="F126" s="10" t="n"/>
      <c r="G126" s="10" t="n"/>
      <c r="H126" s="10" t="n"/>
      <c r="I126" s="10" t="n"/>
      <c r="J126" s="10" t="n"/>
    </row>
    <row r="127" ht="15" customHeight="1" s="74">
      <c r="A127" s="17" t="inlineStr">
        <is>
          <t>Latest UFCF ($M, proxy = FCF)</t>
        </is>
      </c>
      <c r="B127" s="48">
        <f>Data!L53</f>
        <v/>
      </c>
      <c r="C127" s="2" t="n"/>
      <c r="D127" s="2" t="n"/>
      <c r="E127" s="2" t="n"/>
      <c r="F127" s="2" t="n"/>
      <c r="G127" s="2" t="n"/>
      <c r="H127" s="2" t="n"/>
      <c r="I127" s="2" t="n"/>
      <c r="J127" s="2" t="n"/>
    </row>
    <row r="128" ht="15" customHeight="1" s="74">
      <c r="A128" s="39" t="inlineStr">
        <is>
          <t>Assumed margin stable at (%)</t>
        </is>
      </c>
      <c r="B128" s="76" t="n"/>
      <c r="C128" s="10" t="n"/>
      <c r="D128" s="10" t="n"/>
      <c r="E128" s="10" t="n"/>
      <c r="F128" s="10" t="n"/>
      <c r="G128" s="10" t="n"/>
      <c r="H128" s="10" t="n"/>
      <c r="I128" s="10" t="n"/>
      <c r="J128" s="10" t="n"/>
    </row>
    <row r="129" ht="15" customHeight="1" s="74">
      <c r="A129" s="17" t="inlineStr">
        <is>
          <t>Terminal Growth (same as Base)</t>
        </is>
      </c>
      <c r="B129" s="81">
        <f>G26</f>
        <v/>
      </c>
      <c r="C129" s="2" t="n"/>
      <c r="D129" s="2" t="n"/>
      <c r="E129" s="2" t="n"/>
      <c r="F129" s="2" t="n"/>
      <c r="G129" s="2" t="n"/>
      <c r="H129" s="2" t="n"/>
      <c r="I129" s="2" t="n"/>
      <c r="J129" s="2" t="n"/>
    </row>
    <row r="130" ht="15" customHeight="1" s="74">
      <c r="A130" s="31" t="inlineStr">
        <is>
          <t>Implied Perpetuity Growth Rate</t>
        </is>
      </c>
      <c r="B130" s="80">
        <f>IFERROR((B126*B15-B127)/(B126+B127),"-")</f>
        <v/>
      </c>
      <c r="C130" s="10" t="n"/>
      <c r="D130" s="10" t="n"/>
      <c r="E130" s="10" t="n"/>
      <c r="F130" s="10" t="n"/>
      <c r="G130" s="10" t="n"/>
      <c r="H130" s="10" t="n"/>
      <c r="I130" s="10" t="n"/>
      <c r="J130" s="10" t="n"/>
    </row>
    <row r="131" ht="15" customHeight="1" s="74">
      <c r="A131" s="17" t="inlineStr">
        <is>
          <t>Interpretation</t>
        </is>
      </c>
      <c r="B131" s="32" t="inlineStr">
        <is>
          <t>If implied g &gt; terminal g, market expects above-trend growth</t>
        </is>
      </c>
      <c r="C131" s="2" t="n"/>
      <c r="D131" s="2" t="n"/>
      <c r="E131" s="2" t="n"/>
      <c r="F131" s="2" t="n"/>
      <c r="G131" s="2" t="n"/>
      <c r="H131" s="2" t="n"/>
      <c r="I131" s="2" t="n"/>
      <c r="J131" s="2" t="n"/>
    </row>
    <row r="132" ht="15" customHeight="1" s="74">
      <c r="A132" s="10" t="n"/>
      <c r="B132" s="10" t="n"/>
      <c r="C132" s="10" t="n"/>
      <c r="D132" s="10" t="n"/>
      <c r="E132" s="10" t="n"/>
      <c r="F132" s="10" t="n"/>
      <c r="G132" s="10" t="n"/>
      <c r="H132" s="10" t="n"/>
      <c r="I132" s="10" t="n"/>
      <c r="J132" s="10" t="n"/>
    </row>
    <row r="133" ht="15" customHeight="1" s="74">
      <c r="A133" s="30" t="inlineStr">
        <is>
          <t>6. COMPOSITE FAIR VALUE</t>
        </is>
      </c>
    </row>
    <row r="134" ht="15" customHeight="1" s="74">
      <c r="A134" s="45" t="inlineStr">
        <is>
          <t>Method</t>
        </is>
      </c>
      <c r="B134" s="45" t="inlineStr">
        <is>
          <t>Bear</t>
        </is>
      </c>
      <c r="C134" s="45" t="inlineStr">
        <is>
          <t>Base</t>
        </is>
      </c>
      <c r="D134" s="45" t="inlineStr">
        <is>
          <t>Bull</t>
        </is>
      </c>
      <c r="E134" s="45" t="inlineStr">
        <is>
          <t>Weight</t>
        </is>
      </c>
      <c r="F134" s="10" t="n"/>
      <c r="G134" s="10" t="n"/>
      <c r="H134" s="10" t="n"/>
      <c r="I134" s="10" t="n"/>
      <c r="J134" s="10" t="n"/>
    </row>
    <row r="135" ht="15" customHeight="1" s="74">
      <c r="A135" s="17" t="inlineStr">
        <is>
          <t>DCF (Section 2/3)</t>
        </is>
      </c>
      <c r="B135" s="29">
        <f>B88</f>
        <v/>
      </c>
      <c r="C135" s="29">
        <f>B61</f>
        <v/>
      </c>
      <c r="D135" s="29">
        <f>B114</f>
        <v/>
      </c>
      <c r="E135" s="81" t="n">
        <v>0.45</v>
      </c>
      <c r="F135" s="2" t="n"/>
      <c r="G135" s="2" t="n"/>
      <c r="H135" s="2" t="n"/>
      <c r="I135" s="2" t="n"/>
      <c r="J135" s="2" t="n"/>
    </row>
    <row r="136" ht="15" customHeight="1" s="74">
      <c r="A136" s="15" t="inlineStr">
        <is>
          <t>P/E Relative (Section 4)</t>
        </is>
      </c>
      <c r="B136" s="28">
        <f>IFERROR(Data!L27*B181,"-")</f>
        <v/>
      </c>
      <c r="C136" s="28">
        <f>E118</f>
        <v/>
      </c>
      <c r="D136" s="28">
        <f>IFERROR(Data!L27*B182,"-")</f>
        <v/>
      </c>
      <c r="E136" s="84" t="n">
        <v>0.25</v>
      </c>
      <c r="F136" s="10" t="n"/>
      <c r="G136" s="10" t="n"/>
      <c r="H136" s="10" t="n"/>
      <c r="I136" s="10" t="n"/>
      <c r="J136" s="10" t="n"/>
    </row>
    <row r="137" ht="15" customHeight="1" s="74">
      <c r="A137" s="17" t="inlineStr">
        <is>
          <t>EV/EBITDA Relative (Section 4)</t>
        </is>
      </c>
      <c r="B137" s="29">
        <f>IFERROR((Data!L20*B183-Data!L36-Data!L42+B58)/B60,"-")</f>
        <v/>
      </c>
      <c r="C137" s="29">
        <f>E119</f>
        <v/>
      </c>
      <c r="D137" s="29">
        <f>IFERROR((Data!L20*B184-Data!L36-Data!L42+B58)/B60,"-")</f>
        <v/>
      </c>
      <c r="E137" s="81" t="n">
        <v>0.2</v>
      </c>
      <c r="F137" s="2" t="n"/>
      <c r="G137" s="2" t="n"/>
      <c r="H137" s="2" t="n"/>
      <c r="I137" s="2" t="n"/>
      <c r="J137" s="2" t="n"/>
    </row>
    <row r="138" ht="15" customHeight="1" s="74">
      <c r="A138" s="15" t="inlineStr">
        <is>
          <t>FCF Yield (Section 4)</t>
        </is>
      </c>
      <c r="B138" s="28">
        <f>IFERROR((Data!L53/Data!L28)/B185,"-")</f>
        <v/>
      </c>
      <c r="C138" s="28">
        <f>E122</f>
        <v/>
      </c>
      <c r="D138" s="28">
        <f>IFERROR((Data!L53/Data!L28)/B186,"-")</f>
        <v/>
      </c>
      <c r="E138" s="84" t="n">
        <v>0.1</v>
      </c>
      <c r="F138" s="10" t="n"/>
      <c r="G138" s="10" t="n"/>
      <c r="H138" s="10" t="n"/>
      <c r="I138" s="10" t="n"/>
      <c r="J138" s="10" t="n"/>
    </row>
    <row r="139">
      <c r="A139" s="2" t="n"/>
      <c r="B139" s="2" t="n"/>
      <c r="C139" s="2" t="n"/>
      <c r="D139" s="2" t="n"/>
      <c r="E139" s="2" t="n"/>
      <c r="F139" s="2" t="n"/>
      <c r="G139" s="2" t="n"/>
      <c r="H139" s="2" t="n"/>
      <c r="I139" s="2" t="n"/>
      <c r="J139" s="2" t="n"/>
    </row>
    <row r="140" ht="15" customHeight="1" s="74">
      <c r="A140" s="31" t="inlineStr">
        <is>
          <t>Weighted FV / Scenario</t>
        </is>
      </c>
      <c r="B140" s="54">
        <f>IFERROR(B135*E135+B136*E136+B137*E137+B138*E138,0)</f>
        <v/>
      </c>
      <c r="C140" s="54">
        <f>IFERROR(C135*E135+C136*E136+C137*E137+C138*E138,0)</f>
        <v/>
      </c>
      <c r="D140" s="54">
        <f>IFERROR(D135*E135+D136*E136+D137*E137+D138*E138,0)</f>
        <v/>
      </c>
      <c r="E140" s="10" t="n"/>
      <c r="F140" s="10" t="n"/>
      <c r="G140" s="10" t="n"/>
      <c r="H140" s="10" t="n"/>
      <c r="I140" s="10" t="n"/>
      <c r="J140" s="10" t="n"/>
    </row>
    <row r="141" ht="15" customHeight="1" s="74">
      <c r="A141" s="39" t="inlineStr">
        <is>
          <t>Scenario Probability</t>
        </is>
      </c>
      <c r="B141" s="77" t="n">
        <v>0.25</v>
      </c>
      <c r="C141" s="77" t="n">
        <v>0.5</v>
      </c>
      <c r="D141" s="77" t="n">
        <v>0.25</v>
      </c>
      <c r="E141" s="2" t="n"/>
      <c r="F141" s="2" t="n"/>
      <c r="G141" s="2" t="n"/>
      <c r="H141" s="2" t="n"/>
      <c r="I141" s="2" t="n"/>
      <c r="J141" s="2" t="n"/>
    </row>
    <row r="142" ht="15" customHeight="1" s="74">
      <c r="A142" s="10" t="n"/>
      <c r="B142" s="10" t="n"/>
      <c r="C142" s="10" t="n"/>
      <c r="D142" s="10" t="n"/>
      <c r="E142" s="10" t="n"/>
      <c r="F142" s="10" t="n"/>
      <c r="G142" s="10" t="n"/>
      <c r="H142" s="10" t="n"/>
      <c r="I142" s="10" t="n"/>
      <c r="J142" s="10" t="n"/>
    </row>
    <row r="143" ht="17.25" customHeight="1" s="74">
      <c r="A143" s="35" t="inlineStr">
        <is>
          <t>COMPOSITE FAIR VALUE</t>
        </is>
      </c>
      <c r="B143" s="6">
        <f>IFERROR(B140*B141+C140*C141+D140*D141,"-")</f>
        <v/>
      </c>
      <c r="C143" s="2" t="n"/>
      <c r="D143" s="2" t="n"/>
      <c r="E143" s="2" t="n"/>
      <c r="F143" s="2" t="n"/>
      <c r="G143" s="2" t="n"/>
      <c r="H143" s="2" t="n"/>
      <c r="I143" s="2" t="n"/>
      <c r="J143" s="2" t="n"/>
    </row>
    <row r="144" ht="15" customHeight="1" s="74">
      <c r="A144" s="15" t="inlineStr">
        <is>
          <t>Current Share Price</t>
        </is>
      </c>
      <c r="B144" s="28">
        <f>Data!B8</f>
        <v/>
      </c>
      <c r="C144" s="10" t="n"/>
      <c r="D144" s="10" t="n"/>
      <c r="E144" s="10" t="n"/>
      <c r="F144" s="10" t="n"/>
      <c r="G144" s="10" t="n"/>
      <c r="H144" s="10" t="n"/>
      <c r="I144" s="10" t="n"/>
      <c r="J144" s="10" t="n"/>
    </row>
    <row r="145" ht="15" customHeight="1" s="74">
      <c r="A145" s="35" t="inlineStr">
        <is>
          <t>Upside / Downside</t>
        </is>
      </c>
      <c r="B145" s="79">
        <f>IFERROR(B143/Data!B8-1,"-")</f>
        <v/>
      </c>
      <c r="C145" s="2" t="n"/>
      <c r="D145" s="2" t="n"/>
      <c r="E145" s="2" t="n"/>
      <c r="F145" s="2" t="n"/>
      <c r="G145" s="2" t="n"/>
      <c r="H145" s="2" t="n"/>
      <c r="I145" s="2" t="n"/>
      <c r="J145" s="2" t="n"/>
    </row>
    <row r="146" ht="15" customHeight="1" s="74">
      <c r="A146" s="10" t="n"/>
      <c r="B146" s="10" t="n"/>
      <c r="C146" s="10" t="n"/>
      <c r="D146" s="10" t="n"/>
      <c r="E146" s="10" t="n"/>
      <c r="F146" s="10" t="n"/>
      <c r="G146" s="10" t="n"/>
      <c r="H146" s="10" t="n"/>
      <c r="I146" s="10" t="n"/>
      <c r="J146" s="10" t="n"/>
    </row>
    <row r="147" ht="15" customHeight="1" s="74">
      <c r="A147" s="30" t="inlineStr">
        <is>
          <t>7. SENSITIVITY: WACC × TERMINAL GROWTH → DCF FV/SHARE</t>
        </is>
      </c>
    </row>
    <row r="148" ht="15" customHeight="1" s="74">
      <c r="A148" s="55" t="inlineStr">
        <is>
          <t>WACC \ TGR</t>
        </is>
      </c>
      <c r="B148" s="85">
        <f>G26+-0.015</f>
        <v/>
      </c>
      <c r="C148" s="85">
        <f>G26+-0.01</f>
        <v/>
      </c>
      <c r="D148" s="85">
        <f>G26+-0.005</f>
        <v/>
      </c>
      <c r="E148" s="85">
        <f>G26</f>
        <v/>
      </c>
      <c r="F148" s="85">
        <f>G26+0.005</f>
        <v/>
      </c>
      <c r="G148" s="85">
        <f>G26+0.01</f>
        <v/>
      </c>
      <c r="H148" s="85">
        <f>G26+0.015</f>
        <v/>
      </c>
      <c r="I148" s="10" t="n"/>
      <c r="J148" s="10" t="n"/>
    </row>
    <row r="149" ht="15" customHeight="1" s="74">
      <c r="A149" s="86">
        <f>B15+-0.02</f>
        <v/>
      </c>
      <c r="B149" s="29">
        <f>IFERROR((B40/(1+$A149)^1+C40/(1+$A149)^2+D40/(1+$A149)^3+E40/(1+$A149)^4+F40/(1+$A149)^5+(F40*(1+B$148)/($A149-B$148))/(1+$A149)^5-B56-B57+B58)/B60,"-")</f>
        <v/>
      </c>
      <c r="C149" s="29">
        <f>IFERROR((B40/(1+$A149)^1+C40/(1+$A149)^2+D40/(1+$A149)^3+E40/(1+$A149)^4+F40/(1+$A149)^5+(F40*(1+C$148)/($A149-C$148))/(1+$A149)^5-B56-B57+B58)/B60,"-")</f>
        <v/>
      </c>
      <c r="D149" s="29">
        <f>IFERROR((B40/(1+$A149)^1+C40/(1+$A149)^2+D40/(1+$A149)^3+E40/(1+$A149)^4+F40/(1+$A149)^5+(F40*(1+D$148)/($A149-D$148))/(1+$A149)^5-B56-B57+B58)/B60,"-")</f>
        <v/>
      </c>
      <c r="E149" s="29">
        <f>IFERROR((B40/(1+$A149)^1+C40/(1+$A149)^2+D40/(1+$A149)^3+E40/(1+$A149)^4+F40/(1+$A149)^5+(F40*(1+E$148)/($A149-E$148))/(1+$A149)^5-B56-B57+B58)/B60,"-")</f>
        <v/>
      </c>
      <c r="F149" s="29">
        <f>IFERROR((B40/(1+$A149)^1+C40/(1+$A149)^2+D40/(1+$A149)^3+E40/(1+$A149)^4+F40/(1+$A149)^5+(F40*(1+F$148)/($A149-F$148))/(1+$A149)^5-B56-B57+B58)/B60,"-")</f>
        <v/>
      </c>
      <c r="G149" s="29">
        <f>IFERROR((B40/(1+$A149)^1+C40/(1+$A149)^2+D40/(1+$A149)^3+E40/(1+$A149)^4+F40/(1+$A149)^5+(F40*(1+G$148)/($A149-G$148))/(1+$A149)^5-B56-B57+B58)/B60,"-")</f>
        <v/>
      </c>
      <c r="H149" s="29">
        <f>IFERROR((B40/(1+$A149)^1+C40/(1+$A149)^2+D40/(1+$A149)^3+E40/(1+$A149)^4+F40/(1+$A149)^5+(F40*(1+H$148)/($A149-H$148))/(1+$A149)^5-B56-B57+B58)/B60,"-")</f>
        <v/>
      </c>
      <c r="I149" s="2" t="n"/>
      <c r="J149" s="2" t="n"/>
    </row>
    <row r="150" ht="15" customHeight="1" s="74">
      <c r="A150" s="87">
        <f>B15+-0.015</f>
        <v/>
      </c>
      <c r="B150" s="28">
        <f>IFERROR((B40/(1+$A150)^1+C40/(1+$A150)^2+D40/(1+$A150)^3+E40/(1+$A150)^4+F40/(1+$A150)^5+(F40*(1+B$148)/($A150-B$148))/(1+$A150)^5-B56-B57+B58)/B60,"-")</f>
        <v/>
      </c>
      <c r="C150" s="28">
        <f>IFERROR((B40/(1+$A150)^1+C40/(1+$A150)^2+D40/(1+$A150)^3+E40/(1+$A150)^4+F40/(1+$A150)^5+(F40*(1+C$148)/($A150-C$148))/(1+$A150)^5-B56-B57+B58)/B60,"-")</f>
        <v/>
      </c>
      <c r="D150" s="28">
        <f>IFERROR((B40/(1+$A150)^1+C40/(1+$A150)^2+D40/(1+$A150)^3+E40/(1+$A150)^4+F40/(1+$A150)^5+(F40*(1+D$148)/($A150-D$148))/(1+$A150)^5-B56-B57+B58)/B60,"-")</f>
        <v/>
      </c>
      <c r="E150" s="28">
        <f>IFERROR((B40/(1+$A150)^1+C40/(1+$A150)^2+D40/(1+$A150)^3+E40/(1+$A150)^4+F40/(1+$A150)^5+(F40*(1+E$148)/($A150-E$148))/(1+$A150)^5-B56-B57+B58)/B60,"-")</f>
        <v/>
      </c>
      <c r="F150" s="28">
        <f>IFERROR((B40/(1+$A150)^1+C40/(1+$A150)^2+D40/(1+$A150)^3+E40/(1+$A150)^4+F40/(1+$A150)^5+(F40*(1+F$148)/($A150-F$148))/(1+$A150)^5-B56-B57+B58)/B60,"-")</f>
        <v/>
      </c>
      <c r="G150" s="28">
        <f>IFERROR((B40/(1+$A150)^1+C40/(1+$A150)^2+D40/(1+$A150)^3+E40/(1+$A150)^4+F40/(1+$A150)^5+(F40*(1+G$148)/($A150-G$148))/(1+$A150)^5-B56-B57+B58)/B60,"-")</f>
        <v/>
      </c>
      <c r="H150" s="28">
        <f>IFERROR((B40/(1+$A150)^1+C40/(1+$A150)^2+D40/(1+$A150)^3+E40/(1+$A150)^4+F40/(1+$A150)^5+(F40*(1+H$148)/($A150-H$148))/(1+$A150)^5-B56-B57+B58)/B60,"-")</f>
        <v/>
      </c>
      <c r="I150" s="10" t="n"/>
      <c r="J150" s="10" t="n"/>
    </row>
    <row r="151" ht="15" customHeight="1" s="74">
      <c r="A151" s="86">
        <f>B15+-0.01</f>
        <v/>
      </c>
      <c r="B151" s="29">
        <f>IFERROR((B40/(1+$A151)^1+C40/(1+$A151)^2+D40/(1+$A151)^3+E40/(1+$A151)^4+F40/(1+$A151)^5+(F40*(1+B$148)/($A151-B$148))/(1+$A151)^5-B56-B57+B58)/B60,"-")</f>
        <v/>
      </c>
      <c r="C151" s="29">
        <f>IFERROR((B40/(1+$A151)^1+C40/(1+$A151)^2+D40/(1+$A151)^3+E40/(1+$A151)^4+F40/(1+$A151)^5+(F40*(1+C$148)/($A151-C$148))/(1+$A151)^5-B56-B57+B58)/B60,"-")</f>
        <v/>
      </c>
      <c r="D151" s="29">
        <f>IFERROR((B40/(1+$A151)^1+C40/(1+$A151)^2+D40/(1+$A151)^3+E40/(1+$A151)^4+F40/(1+$A151)^5+(F40*(1+D$148)/($A151-D$148))/(1+$A151)^5-B56-B57+B58)/B60,"-")</f>
        <v/>
      </c>
      <c r="E151" s="29">
        <f>IFERROR((B40/(1+$A151)^1+C40/(1+$A151)^2+D40/(1+$A151)^3+E40/(1+$A151)^4+F40/(1+$A151)^5+(F40*(1+E$148)/($A151-E$148))/(1+$A151)^5-B56-B57+B58)/B60,"-")</f>
        <v/>
      </c>
      <c r="F151" s="29">
        <f>IFERROR((B40/(1+$A151)^1+C40/(1+$A151)^2+D40/(1+$A151)^3+E40/(1+$A151)^4+F40/(1+$A151)^5+(F40*(1+F$148)/($A151-F$148))/(1+$A151)^5-B56-B57+B58)/B60,"-")</f>
        <v/>
      </c>
      <c r="G151" s="29">
        <f>IFERROR((B40/(1+$A151)^1+C40/(1+$A151)^2+D40/(1+$A151)^3+E40/(1+$A151)^4+F40/(1+$A151)^5+(F40*(1+G$148)/($A151-G$148))/(1+$A151)^5-B56-B57+B58)/B60,"-")</f>
        <v/>
      </c>
      <c r="H151" s="29">
        <f>IFERROR((B40/(1+$A151)^1+C40/(1+$A151)^2+D40/(1+$A151)^3+E40/(1+$A151)^4+F40/(1+$A151)^5+(F40*(1+H$148)/($A151-H$148))/(1+$A151)^5-B56-B57+B58)/B60,"-")</f>
        <v/>
      </c>
      <c r="I151" s="2" t="n"/>
      <c r="J151" s="2" t="n"/>
    </row>
    <row r="152" ht="15" customHeight="1" s="74">
      <c r="A152" s="87">
        <f>B15+-0.005</f>
        <v/>
      </c>
      <c r="B152" s="28">
        <f>IFERROR((B40/(1+$A152)^1+C40/(1+$A152)^2+D40/(1+$A152)^3+E40/(1+$A152)^4+F40/(1+$A152)^5+(F40*(1+B$148)/($A152-B$148))/(1+$A152)^5-B56-B57+B58)/B60,"-")</f>
        <v/>
      </c>
      <c r="C152" s="28">
        <f>IFERROR((B40/(1+$A152)^1+C40/(1+$A152)^2+D40/(1+$A152)^3+E40/(1+$A152)^4+F40/(1+$A152)^5+(F40*(1+C$148)/($A152-C$148))/(1+$A152)^5-B56-B57+B58)/B60,"-")</f>
        <v/>
      </c>
      <c r="D152" s="28">
        <f>IFERROR((B40/(1+$A152)^1+C40/(1+$A152)^2+D40/(1+$A152)^3+E40/(1+$A152)^4+F40/(1+$A152)^5+(F40*(1+D$148)/($A152-D$148))/(1+$A152)^5-B56-B57+B58)/B60,"-")</f>
        <v/>
      </c>
      <c r="E152" s="28">
        <f>IFERROR((B40/(1+$A152)^1+C40/(1+$A152)^2+D40/(1+$A152)^3+E40/(1+$A152)^4+F40/(1+$A152)^5+(F40*(1+E$148)/($A152-E$148))/(1+$A152)^5-B56-B57+B58)/B60,"-")</f>
        <v/>
      </c>
      <c r="F152" s="28">
        <f>IFERROR((B40/(1+$A152)^1+C40/(1+$A152)^2+D40/(1+$A152)^3+E40/(1+$A152)^4+F40/(1+$A152)^5+(F40*(1+F$148)/($A152-F$148))/(1+$A152)^5-B56-B57+B58)/B60,"-")</f>
        <v/>
      </c>
      <c r="G152" s="28">
        <f>IFERROR((B40/(1+$A152)^1+C40/(1+$A152)^2+D40/(1+$A152)^3+E40/(1+$A152)^4+F40/(1+$A152)^5+(F40*(1+G$148)/($A152-G$148))/(1+$A152)^5-B56-B57+B58)/B60,"-")</f>
        <v/>
      </c>
      <c r="H152" s="28">
        <f>IFERROR((B40/(1+$A152)^1+C40/(1+$A152)^2+D40/(1+$A152)^3+E40/(1+$A152)^4+F40/(1+$A152)^5+(F40*(1+H$148)/($A152-H$148))/(1+$A152)^5-B56-B57+B58)/B60,"-")</f>
        <v/>
      </c>
      <c r="I152" s="10" t="n"/>
      <c r="J152" s="10" t="n"/>
    </row>
    <row r="153" ht="15" customHeight="1" s="74">
      <c r="A153" s="88">
        <f>B15</f>
        <v/>
      </c>
      <c r="B153" s="29">
        <f>IFERROR((B40/(1+$A153)^1+C40/(1+$A153)^2+D40/(1+$A153)^3+E40/(1+$A153)^4+F40/(1+$A153)^5+(F40*(1+B$148)/($A153-B$148))/(1+$A153)^5-B56-B57+B58)/B60,"-")</f>
        <v/>
      </c>
      <c r="C153" s="29">
        <f>IFERROR((B40/(1+$A153)^1+C40/(1+$A153)^2+D40/(1+$A153)^3+E40/(1+$A153)^4+F40/(1+$A153)^5+(F40*(1+C$148)/($A153-C$148))/(1+$A153)^5-B56-B57+B58)/B60,"-")</f>
        <v/>
      </c>
      <c r="D153" s="29">
        <f>IFERROR((B40/(1+$A153)^1+C40/(1+$A153)^2+D40/(1+$A153)^3+E40/(1+$A153)^4+F40/(1+$A153)^5+(F40*(1+D$148)/($A153-D$148))/(1+$A153)^5-B56-B57+B58)/B60,"-")</f>
        <v/>
      </c>
      <c r="E153" s="60">
        <f>IFERROR((B40/(1+$A153)^1+C40/(1+$A153)^2+D40/(1+$A153)^3+E40/(1+$A153)^4+F40/(1+$A153)^5+(F40*(1+E$148)/($A153-E$148))/(1+$A153)^5-B56-B57+B58)/B60,"-")</f>
        <v/>
      </c>
      <c r="F153" s="29">
        <f>IFERROR((B40/(1+$A153)^1+C40/(1+$A153)^2+D40/(1+$A153)^3+E40/(1+$A153)^4+F40/(1+$A153)^5+(F40*(1+F$148)/($A153-F$148))/(1+$A153)^5-B56-B57+B58)/B60,"-")</f>
        <v/>
      </c>
      <c r="G153" s="29">
        <f>IFERROR((B40/(1+$A153)^1+C40/(1+$A153)^2+D40/(1+$A153)^3+E40/(1+$A153)^4+F40/(1+$A153)^5+(F40*(1+G$148)/($A153-G$148))/(1+$A153)^5-B56-B57+B58)/B60,"-")</f>
        <v/>
      </c>
      <c r="H153" s="29">
        <f>IFERROR((B40/(1+$A153)^1+C40/(1+$A153)^2+D40/(1+$A153)^3+E40/(1+$A153)^4+F40/(1+$A153)^5+(F40*(1+H$148)/($A153-H$148))/(1+$A153)^5-B56-B57+B58)/B60,"-")</f>
        <v/>
      </c>
      <c r="I153" s="2" t="n"/>
      <c r="J153" s="2" t="n"/>
    </row>
    <row r="154" ht="15" customHeight="1" s="74">
      <c r="A154" s="87">
        <f>B15+0.005</f>
        <v/>
      </c>
      <c r="B154" s="28">
        <f>IFERROR((B40/(1+$A154)^1+C40/(1+$A154)^2+D40/(1+$A154)^3+E40/(1+$A154)^4+F40/(1+$A154)^5+(F40*(1+B$148)/($A154-B$148))/(1+$A154)^5-B56-B57+B58)/B60,"-")</f>
        <v/>
      </c>
      <c r="C154" s="28">
        <f>IFERROR((B40/(1+$A154)^1+C40/(1+$A154)^2+D40/(1+$A154)^3+E40/(1+$A154)^4+F40/(1+$A154)^5+(F40*(1+C$148)/($A154-C$148))/(1+$A154)^5-B56-B57+B58)/B60,"-")</f>
        <v/>
      </c>
      <c r="D154" s="28">
        <f>IFERROR((B40/(1+$A154)^1+C40/(1+$A154)^2+D40/(1+$A154)^3+E40/(1+$A154)^4+F40/(1+$A154)^5+(F40*(1+D$148)/($A154-D$148))/(1+$A154)^5-B56-B57+B58)/B60,"-")</f>
        <v/>
      </c>
      <c r="E154" s="28">
        <f>IFERROR((B40/(1+$A154)^1+C40/(1+$A154)^2+D40/(1+$A154)^3+E40/(1+$A154)^4+F40/(1+$A154)^5+(F40*(1+E$148)/($A154-E$148))/(1+$A154)^5-B56-B57+B58)/B60,"-")</f>
        <v/>
      </c>
      <c r="F154" s="28">
        <f>IFERROR((B40/(1+$A154)^1+C40/(1+$A154)^2+D40/(1+$A154)^3+E40/(1+$A154)^4+F40/(1+$A154)^5+(F40*(1+F$148)/($A154-F$148))/(1+$A154)^5-B56-B57+B58)/B60,"-")</f>
        <v/>
      </c>
      <c r="G154" s="28">
        <f>IFERROR((B40/(1+$A154)^1+C40/(1+$A154)^2+D40/(1+$A154)^3+E40/(1+$A154)^4+F40/(1+$A154)^5+(F40*(1+G$148)/($A154-G$148))/(1+$A154)^5-B56-B57+B58)/B60,"-")</f>
        <v/>
      </c>
      <c r="H154" s="28">
        <f>IFERROR((B40/(1+$A154)^1+C40/(1+$A154)^2+D40/(1+$A154)^3+E40/(1+$A154)^4+F40/(1+$A154)^5+(F40*(1+H$148)/($A154-H$148))/(1+$A154)^5-B56-B57+B58)/B60,"-")</f>
        <v/>
      </c>
      <c r="I154" s="10" t="n"/>
      <c r="J154" s="10" t="n"/>
    </row>
    <row r="155" ht="15" customHeight="1" s="74">
      <c r="A155" s="86">
        <f>B15+0.01</f>
        <v/>
      </c>
      <c r="B155" s="29">
        <f>IFERROR((B40/(1+$A155)^1+C40/(1+$A155)^2+D40/(1+$A155)^3+E40/(1+$A155)^4+F40/(1+$A155)^5+(F40*(1+B$148)/($A155-B$148))/(1+$A155)^5-B56-B57+B58)/B60,"-")</f>
        <v/>
      </c>
      <c r="C155" s="29">
        <f>IFERROR((B40/(1+$A155)^1+C40/(1+$A155)^2+D40/(1+$A155)^3+E40/(1+$A155)^4+F40/(1+$A155)^5+(F40*(1+C$148)/($A155-C$148))/(1+$A155)^5-B56-B57+B58)/B60,"-")</f>
        <v/>
      </c>
      <c r="D155" s="29">
        <f>IFERROR((B40/(1+$A155)^1+C40/(1+$A155)^2+D40/(1+$A155)^3+E40/(1+$A155)^4+F40/(1+$A155)^5+(F40*(1+D$148)/($A155-D$148))/(1+$A155)^5-B56-B57+B58)/B60,"-")</f>
        <v/>
      </c>
      <c r="E155" s="29">
        <f>IFERROR((B40/(1+$A155)^1+C40/(1+$A155)^2+D40/(1+$A155)^3+E40/(1+$A155)^4+F40/(1+$A155)^5+(F40*(1+E$148)/($A155-E$148))/(1+$A155)^5-B56-B57+B58)/B60,"-")</f>
        <v/>
      </c>
      <c r="F155" s="29">
        <f>IFERROR((B40/(1+$A155)^1+C40/(1+$A155)^2+D40/(1+$A155)^3+E40/(1+$A155)^4+F40/(1+$A155)^5+(F40*(1+F$148)/($A155-F$148))/(1+$A155)^5-B56-B57+B58)/B60,"-")</f>
        <v/>
      </c>
      <c r="G155" s="29">
        <f>IFERROR((B40/(1+$A155)^1+C40/(1+$A155)^2+D40/(1+$A155)^3+E40/(1+$A155)^4+F40/(1+$A155)^5+(F40*(1+G$148)/($A155-G$148))/(1+$A155)^5-B56-B57+B58)/B60,"-")</f>
        <v/>
      </c>
      <c r="H155" s="29">
        <f>IFERROR((B40/(1+$A155)^1+C40/(1+$A155)^2+D40/(1+$A155)^3+E40/(1+$A155)^4+F40/(1+$A155)^5+(F40*(1+H$148)/($A155-H$148))/(1+$A155)^5-B56-B57+B58)/B60,"-")</f>
        <v/>
      </c>
      <c r="I155" s="2" t="n"/>
      <c r="J155" s="2" t="n"/>
    </row>
    <row r="156" ht="15" customHeight="1" s="74">
      <c r="A156" s="87">
        <f>B15+0.015</f>
        <v/>
      </c>
      <c r="B156" s="28">
        <f>IFERROR((B40/(1+$A156)^1+C40/(1+$A156)^2+D40/(1+$A156)^3+E40/(1+$A156)^4+F40/(1+$A156)^5+(F40*(1+B$148)/($A156-B$148))/(1+$A156)^5-B56-B57+B58)/B60,"-")</f>
        <v/>
      </c>
      <c r="C156" s="28">
        <f>IFERROR((B40/(1+$A156)^1+C40/(1+$A156)^2+D40/(1+$A156)^3+E40/(1+$A156)^4+F40/(1+$A156)^5+(F40*(1+C$148)/($A156-C$148))/(1+$A156)^5-B56-B57+B58)/B60,"-")</f>
        <v/>
      </c>
      <c r="D156" s="28">
        <f>IFERROR((B40/(1+$A156)^1+C40/(1+$A156)^2+D40/(1+$A156)^3+E40/(1+$A156)^4+F40/(1+$A156)^5+(F40*(1+D$148)/($A156-D$148))/(1+$A156)^5-B56-B57+B58)/B60,"-")</f>
        <v/>
      </c>
      <c r="E156" s="28">
        <f>IFERROR((B40/(1+$A156)^1+C40/(1+$A156)^2+D40/(1+$A156)^3+E40/(1+$A156)^4+F40/(1+$A156)^5+(F40*(1+E$148)/($A156-E$148))/(1+$A156)^5-B56-B57+B58)/B60,"-")</f>
        <v/>
      </c>
      <c r="F156" s="28">
        <f>IFERROR((B40/(1+$A156)^1+C40/(1+$A156)^2+D40/(1+$A156)^3+E40/(1+$A156)^4+F40/(1+$A156)^5+(F40*(1+F$148)/($A156-F$148))/(1+$A156)^5-B56-B57+B58)/B60,"-")</f>
        <v/>
      </c>
      <c r="G156" s="28">
        <f>IFERROR((B40/(1+$A156)^1+C40/(1+$A156)^2+D40/(1+$A156)^3+E40/(1+$A156)^4+F40/(1+$A156)^5+(F40*(1+G$148)/($A156-G$148))/(1+$A156)^5-B56-B57+B58)/B60,"-")</f>
        <v/>
      </c>
      <c r="H156" s="28">
        <f>IFERROR((B40/(1+$A156)^1+C40/(1+$A156)^2+D40/(1+$A156)^3+E40/(1+$A156)^4+F40/(1+$A156)^5+(F40*(1+H$148)/($A156-H$148))/(1+$A156)^5-B56-B57+B58)/B60,"-")</f>
        <v/>
      </c>
      <c r="I156" s="10" t="n"/>
      <c r="J156" s="10" t="n"/>
    </row>
    <row r="157" ht="15" customHeight="1" s="74">
      <c r="A157" s="86">
        <f>B15+0.02</f>
        <v/>
      </c>
      <c r="B157" s="29">
        <f>IFERROR((B40/(1+$A157)^1+C40/(1+$A157)^2+D40/(1+$A157)^3+E40/(1+$A157)^4+F40/(1+$A157)^5+(F40*(1+B$148)/($A157-B$148))/(1+$A157)^5-B56-B57+B58)/B60,"-")</f>
        <v/>
      </c>
      <c r="C157" s="29">
        <f>IFERROR((B40/(1+$A157)^1+C40/(1+$A157)^2+D40/(1+$A157)^3+E40/(1+$A157)^4+F40/(1+$A157)^5+(F40*(1+C$148)/($A157-C$148))/(1+$A157)^5-B56-B57+B58)/B60,"-")</f>
        <v/>
      </c>
      <c r="D157" s="29">
        <f>IFERROR((B40/(1+$A157)^1+C40/(1+$A157)^2+D40/(1+$A157)^3+E40/(1+$A157)^4+F40/(1+$A157)^5+(F40*(1+D$148)/($A157-D$148))/(1+$A157)^5-B56-B57+B58)/B60,"-")</f>
        <v/>
      </c>
      <c r="E157" s="29">
        <f>IFERROR((B40/(1+$A157)^1+C40/(1+$A157)^2+D40/(1+$A157)^3+E40/(1+$A157)^4+F40/(1+$A157)^5+(F40*(1+E$148)/($A157-E$148))/(1+$A157)^5-B56-B57+B58)/B60,"-")</f>
        <v/>
      </c>
      <c r="F157" s="29">
        <f>IFERROR((B40/(1+$A157)^1+C40/(1+$A157)^2+D40/(1+$A157)^3+E40/(1+$A157)^4+F40/(1+$A157)^5+(F40*(1+F$148)/($A157-F$148))/(1+$A157)^5-B56-B57+B58)/B60,"-")</f>
        <v/>
      </c>
      <c r="G157" s="29">
        <f>IFERROR((B40/(1+$A157)^1+C40/(1+$A157)^2+D40/(1+$A157)^3+E40/(1+$A157)^4+F40/(1+$A157)^5+(F40*(1+G$148)/($A157-G$148))/(1+$A157)^5-B56-B57+B58)/B60,"-")</f>
        <v/>
      </c>
      <c r="H157" s="29">
        <f>IFERROR((B40/(1+$A157)^1+C40/(1+$A157)^2+D40/(1+$A157)^3+E40/(1+$A157)^4+F40/(1+$A157)^5+(F40*(1+H$148)/($A157-H$148))/(1+$A157)^5-B56-B57+B58)/B60,"-")</f>
        <v/>
      </c>
      <c r="I157" s="2" t="n"/>
      <c r="J157" s="2" t="n"/>
    </row>
    <row r="158" ht="15" customHeight="1" s="74">
      <c r="A158" s="10" t="n"/>
      <c r="B158" s="10" t="n"/>
      <c r="C158" s="10" t="n"/>
      <c r="D158" s="10" t="n"/>
      <c r="E158" s="10" t="n"/>
      <c r="F158" s="10" t="n"/>
      <c r="G158" s="10" t="n"/>
      <c r="H158" s="10" t="n"/>
      <c r="I158" s="10" t="n"/>
      <c r="J158" s="10" t="n"/>
    </row>
    <row r="159" ht="15" customHeight="1" s="74">
      <c r="A159" s="30" t="inlineStr">
        <is>
          <t>7b. SENSITIVITY: WACC × EXIT MULTIPLE → DCF FV/SHARE</t>
        </is>
      </c>
    </row>
    <row r="160" ht="15" customHeight="1" s="74">
      <c r="A160" s="55" t="inlineStr">
        <is>
          <t>WACC \ Exit Mult</t>
        </is>
      </c>
      <c r="B160" s="61">
        <f>G27+-6</f>
        <v/>
      </c>
      <c r="C160" s="61">
        <f>G27+-4</f>
        <v/>
      </c>
      <c r="D160" s="61">
        <f>G27+-2</f>
        <v/>
      </c>
      <c r="E160" s="61">
        <f>G27</f>
        <v/>
      </c>
      <c r="F160" s="61">
        <f>G27+2</f>
        <v/>
      </c>
      <c r="G160" s="61">
        <f>G27+4</f>
        <v/>
      </c>
      <c r="H160" s="61">
        <f>G27+6</f>
        <v/>
      </c>
      <c r="I160" s="10" t="n"/>
      <c r="J160" s="10" t="n"/>
    </row>
    <row r="161" ht="15" customHeight="1" s="74">
      <c r="A161" s="86">
        <f>B15+-0.02</f>
        <v/>
      </c>
      <c r="B161" s="29">
        <f>IFERROR((B40/(1+$A161)^1+C40/(1+$A161)^2+D40/(1+$A161)^3+E40/(1+$A161)^4+F40/(1+$A161)^5+F32*B$160/(1+$A161)^5-Data!L36-Data!L42+B58)/B60,"-")</f>
        <v/>
      </c>
      <c r="C161" s="29">
        <f>IFERROR((B40/(1+$A161)^1+C40/(1+$A161)^2+D40/(1+$A161)^3+E40/(1+$A161)^4+F40/(1+$A161)^5+F32*C$160/(1+$A161)^5-Data!L36-Data!L42+B58)/B60,"-")</f>
        <v/>
      </c>
      <c r="D161" s="29">
        <f>IFERROR((B40/(1+$A161)^1+C40/(1+$A161)^2+D40/(1+$A161)^3+E40/(1+$A161)^4+F40/(1+$A161)^5+F32*D$160/(1+$A161)^5-Data!L36-Data!L42+B58)/B60,"-")</f>
        <v/>
      </c>
      <c r="E161" s="29">
        <f>IFERROR((B40/(1+$A161)^1+C40/(1+$A161)^2+D40/(1+$A161)^3+E40/(1+$A161)^4+F40/(1+$A161)^5+F32*E$160/(1+$A161)^5-Data!L36-Data!L42+B58)/B60,"-")</f>
        <v/>
      </c>
      <c r="F161" s="29">
        <f>IFERROR((B40/(1+$A161)^1+C40/(1+$A161)^2+D40/(1+$A161)^3+E40/(1+$A161)^4+F40/(1+$A161)^5+F32*F$160/(1+$A161)^5-Data!L36-Data!L42+B58)/B60,"-")</f>
        <v/>
      </c>
      <c r="G161" s="29">
        <f>IFERROR((B40/(1+$A161)^1+C40/(1+$A161)^2+D40/(1+$A161)^3+E40/(1+$A161)^4+F40/(1+$A161)^5+F32*G$160/(1+$A161)^5-Data!L36-Data!L42+B58)/B60,"-")</f>
        <v/>
      </c>
      <c r="H161" s="29">
        <f>IFERROR((B40/(1+$A161)^1+C40/(1+$A161)^2+D40/(1+$A161)^3+E40/(1+$A161)^4+F40/(1+$A161)^5+F32*H$160/(1+$A161)^5-Data!L36-Data!L42+B58)/B60,"-")</f>
        <v/>
      </c>
      <c r="I161" s="2" t="n"/>
      <c r="J161" s="2" t="n"/>
    </row>
    <row r="162" ht="15" customHeight="1" s="74">
      <c r="A162" s="87">
        <f>B15+-0.015</f>
        <v/>
      </c>
      <c r="B162" s="28">
        <f>IFERROR((B40/(1+$A162)^1+C40/(1+$A162)^2+D40/(1+$A162)^3+E40/(1+$A162)^4+F40/(1+$A162)^5+F32*B$160/(1+$A162)^5-Data!L36-Data!L42+B58)/B60,"-")</f>
        <v/>
      </c>
      <c r="C162" s="28">
        <f>IFERROR((B40/(1+$A162)^1+C40/(1+$A162)^2+D40/(1+$A162)^3+E40/(1+$A162)^4+F40/(1+$A162)^5+F32*C$160/(1+$A162)^5-Data!L36-Data!L42+B58)/B60,"-")</f>
        <v/>
      </c>
      <c r="D162" s="28">
        <f>IFERROR((B40/(1+$A162)^1+C40/(1+$A162)^2+D40/(1+$A162)^3+E40/(1+$A162)^4+F40/(1+$A162)^5+F32*D$160/(1+$A162)^5-Data!L36-Data!L42+B58)/B60,"-")</f>
        <v/>
      </c>
      <c r="E162" s="28">
        <f>IFERROR((B40/(1+$A162)^1+C40/(1+$A162)^2+D40/(1+$A162)^3+E40/(1+$A162)^4+F40/(1+$A162)^5+F32*E$160/(1+$A162)^5-Data!L36-Data!L42+B58)/B60,"-")</f>
        <v/>
      </c>
      <c r="F162" s="28">
        <f>IFERROR((B40/(1+$A162)^1+C40/(1+$A162)^2+D40/(1+$A162)^3+E40/(1+$A162)^4+F40/(1+$A162)^5+F32*F$160/(1+$A162)^5-Data!L36-Data!L42+B58)/B60,"-")</f>
        <v/>
      </c>
      <c r="G162" s="28">
        <f>IFERROR((B40/(1+$A162)^1+C40/(1+$A162)^2+D40/(1+$A162)^3+E40/(1+$A162)^4+F40/(1+$A162)^5+F32*G$160/(1+$A162)^5-Data!L36-Data!L42+B58)/B60,"-")</f>
        <v/>
      </c>
      <c r="H162" s="28">
        <f>IFERROR((B40/(1+$A162)^1+C40/(1+$A162)^2+D40/(1+$A162)^3+E40/(1+$A162)^4+F40/(1+$A162)^5+F32*H$160/(1+$A162)^5-Data!L36-Data!L42+B58)/B60,"-")</f>
        <v/>
      </c>
      <c r="I162" s="10" t="n"/>
      <c r="J162" s="10" t="n"/>
    </row>
    <row r="163" ht="15" customHeight="1" s="74">
      <c r="A163" s="86">
        <f>B15+-0.01</f>
        <v/>
      </c>
      <c r="B163" s="29">
        <f>IFERROR((B40/(1+$A163)^1+C40/(1+$A163)^2+D40/(1+$A163)^3+E40/(1+$A163)^4+F40/(1+$A163)^5+F32*B$160/(1+$A163)^5-Data!L36-Data!L42+B58)/B60,"-")</f>
        <v/>
      </c>
      <c r="C163" s="29">
        <f>IFERROR((B40/(1+$A163)^1+C40/(1+$A163)^2+D40/(1+$A163)^3+E40/(1+$A163)^4+F40/(1+$A163)^5+F32*C$160/(1+$A163)^5-Data!L36-Data!L42+B58)/B60,"-")</f>
        <v/>
      </c>
      <c r="D163" s="29">
        <f>IFERROR((B40/(1+$A163)^1+C40/(1+$A163)^2+D40/(1+$A163)^3+E40/(1+$A163)^4+F40/(1+$A163)^5+F32*D$160/(1+$A163)^5-Data!L36-Data!L42+B58)/B60,"-")</f>
        <v/>
      </c>
      <c r="E163" s="29">
        <f>IFERROR((B40/(1+$A163)^1+C40/(1+$A163)^2+D40/(1+$A163)^3+E40/(1+$A163)^4+F40/(1+$A163)^5+F32*E$160/(1+$A163)^5-Data!L36-Data!L42+B58)/B60,"-")</f>
        <v/>
      </c>
      <c r="F163" s="29">
        <f>IFERROR((B40/(1+$A163)^1+C40/(1+$A163)^2+D40/(1+$A163)^3+E40/(1+$A163)^4+F40/(1+$A163)^5+F32*F$160/(1+$A163)^5-Data!L36-Data!L42+B58)/B60,"-")</f>
        <v/>
      </c>
      <c r="G163" s="29">
        <f>IFERROR((B40/(1+$A163)^1+C40/(1+$A163)^2+D40/(1+$A163)^3+E40/(1+$A163)^4+F40/(1+$A163)^5+F32*G$160/(1+$A163)^5-Data!L36-Data!L42+B58)/B60,"-")</f>
        <v/>
      </c>
      <c r="H163" s="29">
        <f>IFERROR((B40/(1+$A163)^1+C40/(1+$A163)^2+D40/(1+$A163)^3+E40/(1+$A163)^4+F40/(1+$A163)^5+F32*H$160/(1+$A163)^5-Data!L36-Data!L42+B58)/B60,"-")</f>
        <v/>
      </c>
      <c r="I163" s="2" t="n"/>
      <c r="J163" s="2" t="n"/>
    </row>
    <row r="164" ht="15" customHeight="1" s="74">
      <c r="A164" s="87">
        <f>B15+-0.005</f>
        <v/>
      </c>
      <c r="B164" s="28">
        <f>IFERROR((B40/(1+$A164)^1+C40/(1+$A164)^2+D40/(1+$A164)^3+E40/(1+$A164)^4+F40/(1+$A164)^5+F32*B$160/(1+$A164)^5-Data!L36-Data!L42+B58)/B60,"-")</f>
        <v/>
      </c>
      <c r="C164" s="28">
        <f>IFERROR((B40/(1+$A164)^1+C40/(1+$A164)^2+D40/(1+$A164)^3+E40/(1+$A164)^4+F40/(1+$A164)^5+F32*C$160/(1+$A164)^5-Data!L36-Data!L42+B58)/B60,"-")</f>
        <v/>
      </c>
      <c r="D164" s="28">
        <f>IFERROR((B40/(1+$A164)^1+C40/(1+$A164)^2+D40/(1+$A164)^3+E40/(1+$A164)^4+F40/(1+$A164)^5+F32*D$160/(1+$A164)^5-Data!L36-Data!L42+B58)/B60,"-")</f>
        <v/>
      </c>
      <c r="E164" s="28">
        <f>IFERROR((B40/(1+$A164)^1+C40/(1+$A164)^2+D40/(1+$A164)^3+E40/(1+$A164)^4+F40/(1+$A164)^5+F32*E$160/(1+$A164)^5-Data!L36-Data!L42+B58)/B60,"-")</f>
        <v/>
      </c>
      <c r="F164" s="28">
        <f>IFERROR((B40/(1+$A164)^1+C40/(1+$A164)^2+D40/(1+$A164)^3+E40/(1+$A164)^4+F40/(1+$A164)^5+F32*F$160/(1+$A164)^5-Data!L36-Data!L42+B58)/B60,"-")</f>
        <v/>
      </c>
      <c r="G164" s="28">
        <f>IFERROR((B40/(1+$A164)^1+C40/(1+$A164)^2+D40/(1+$A164)^3+E40/(1+$A164)^4+F40/(1+$A164)^5+F32*G$160/(1+$A164)^5-Data!L36-Data!L42+B58)/B60,"-")</f>
        <v/>
      </c>
      <c r="H164" s="28">
        <f>IFERROR((B40/(1+$A164)^1+C40/(1+$A164)^2+D40/(1+$A164)^3+E40/(1+$A164)^4+F40/(1+$A164)^5+F32*H$160/(1+$A164)^5-Data!L36-Data!L42+B58)/B60,"-")</f>
        <v/>
      </c>
      <c r="I164" s="10" t="n"/>
      <c r="J164" s="10" t="n"/>
    </row>
    <row r="165" ht="15" customHeight="1" s="74">
      <c r="A165" s="88">
        <f>B15</f>
        <v/>
      </c>
      <c r="B165" s="29">
        <f>IFERROR((B40/(1+$A165)^1+C40/(1+$A165)^2+D40/(1+$A165)^3+E40/(1+$A165)^4+F40/(1+$A165)^5+F32*B$160/(1+$A165)^5-Data!L36-Data!L42+B58)/B60,"-")</f>
        <v/>
      </c>
      <c r="C165" s="29">
        <f>IFERROR((B40/(1+$A165)^1+C40/(1+$A165)^2+D40/(1+$A165)^3+E40/(1+$A165)^4+F40/(1+$A165)^5+F32*C$160/(1+$A165)^5-Data!L36-Data!L42+B58)/B60,"-")</f>
        <v/>
      </c>
      <c r="D165" s="29">
        <f>IFERROR((B40/(1+$A165)^1+C40/(1+$A165)^2+D40/(1+$A165)^3+E40/(1+$A165)^4+F40/(1+$A165)^5+F32*D$160/(1+$A165)^5-Data!L36-Data!L42+B58)/B60,"-")</f>
        <v/>
      </c>
      <c r="E165" s="60">
        <f>IFERROR((B40/(1+$A165)^1+C40/(1+$A165)^2+D40/(1+$A165)^3+E40/(1+$A165)^4+F40/(1+$A165)^5+F32*E$160/(1+$A165)^5-Data!L36-Data!L42+B58)/B60,"-")</f>
        <v/>
      </c>
      <c r="F165" s="29">
        <f>IFERROR((B40/(1+$A165)^1+C40/(1+$A165)^2+D40/(1+$A165)^3+E40/(1+$A165)^4+F40/(1+$A165)^5+F32*F$160/(1+$A165)^5-Data!L36-Data!L42+B58)/B60,"-")</f>
        <v/>
      </c>
      <c r="G165" s="29">
        <f>IFERROR((B40/(1+$A165)^1+C40/(1+$A165)^2+D40/(1+$A165)^3+E40/(1+$A165)^4+F40/(1+$A165)^5+F32*G$160/(1+$A165)^5-Data!L36-Data!L42+B58)/B60,"-")</f>
        <v/>
      </c>
      <c r="H165" s="29">
        <f>IFERROR((B40/(1+$A165)^1+C40/(1+$A165)^2+D40/(1+$A165)^3+E40/(1+$A165)^4+F40/(1+$A165)^5+F32*H$160/(1+$A165)^5-Data!L36-Data!L42+B58)/B60,"-")</f>
        <v/>
      </c>
      <c r="I165" s="2" t="n"/>
      <c r="J165" s="2" t="n"/>
    </row>
    <row r="166" ht="15" customHeight="1" s="74">
      <c r="A166" s="87">
        <f>B15+0.005</f>
        <v/>
      </c>
      <c r="B166" s="28">
        <f>IFERROR((B40/(1+$A166)^1+C40/(1+$A166)^2+D40/(1+$A166)^3+E40/(1+$A166)^4+F40/(1+$A166)^5+F32*B$160/(1+$A166)^5-Data!L36-Data!L42+B58)/B60,"-")</f>
        <v/>
      </c>
      <c r="C166" s="28">
        <f>IFERROR((B40/(1+$A166)^1+C40/(1+$A166)^2+D40/(1+$A166)^3+E40/(1+$A166)^4+F40/(1+$A166)^5+F32*C$160/(1+$A166)^5-Data!L36-Data!L42+B58)/B60,"-")</f>
        <v/>
      </c>
      <c r="D166" s="28">
        <f>IFERROR((B40/(1+$A166)^1+C40/(1+$A166)^2+D40/(1+$A166)^3+E40/(1+$A166)^4+F40/(1+$A166)^5+F32*D$160/(1+$A166)^5-Data!L36-Data!L42+B58)/B60,"-")</f>
        <v/>
      </c>
      <c r="E166" s="28">
        <f>IFERROR((B40/(1+$A166)^1+C40/(1+$A166)^2+D40/(1+$A166)^3+E40/(1+$A166)^4+F40/(1+$A166)^5+F32*E$160/(1+$A166)^5-Data!L36-Data!L42+B58)/B60,"-")</f>
        <v/>
      </c>
      <c r="F166" s="28">
        <f>IFERROR((B40/(1+$A166)^1+C40/(1+$A166)^2+D40/(1+$A166)^3+E40/(1+$A166)^4+F40/(1+$A166)^5+F32*F$160/(1+$A166)^5-Data!L36-Data!L42+B58)/B60,"-")</f>
        <v/>
      </c>
      <c r="G166" s="28">
        <f>IFERROR((B40/(1+$A166)^1+C40/(1+$A166)^2+D40/(1+$A166)^3+E40/(1+$A166)^4+F40/(1+$A166)^5+F32*G$160/(1+$A166)^5-Data!L36-Data!L42+B58)/B60,"-")</f>
        <v/>
      </c>
      <c r="H166" s="28">
        <f>IFERROR((B40/(1+$A166)^1+C40/(1+$A166)^2+D40/(1+$A166)^3+E40/(1+$A166)^4+F40/(1+$A166)^5+F32*H$160/(1+$A166)^5-Data!L36-Data!L42+B58)/B60,"-")</f>
        <v/>
      </c>
      <c r="I166" s="10" t="n"/>
      <c r="J166" s="10" t="n"/>
    </row>
    <row r="167" ht="15" customHeight="1" s="74">
      <c r="A167" s="86">
        <f>B15+0.01</f>
        <v/>
      </c>
      <c r="B167" s="29">
        <f>IFERROR((B40/(1+$A167)^1+C40/(1+$A167)^2+D40/(1+$A167)^3+E40/(1+$A167)^4+F40/(1+$A167)^5+F32*B$160/(1+$A167)^5-Data!L36-Data!L42+B58)/B60,"-")</f>
        <v/>
      </c>
      <c r="C167" s="29">
        <f>IFERROR((B40/(1+$A167)^1+C40/(1+$A167)^2+D40/(1+$A167)^3+E40/(1+$A167)^4+F40/(1+$A167)^5+F32*C$160/(1+$A167)^5-Data!L36-Data!L42+B58)/B60,"-")</f>
        <v/>
      </c>
      <c r="D167" s="29">
        <f>IFERROR((B40/(1+$A167)^1+C40/(1+$A167)^2+D40/(1+$A167)^3+E40/(1+$A167)^4+F40/(1+$A167)^5+F32*D$160/(1+$A167)^5-Data!L36-Data!L42+B58)/B60,"-")</f>
        <v/>
      </c>
      <c r="E167" s="29">
        <f>IFERROR((B40/(1+$A167)^1+C40/(1+$A167)^2+D40/(1+$A167)^3+E40/(1+$A167)^4+F40/(1+$A167)^5+F32*E$160/(1+$A167)^5-Data!L36-Data!L42+B58)/B60,"-")</f>
        <v/>
      </c>
      <c r="F167" s="29">
        <f>IFERROR((B40/(1+$A167)^1+C40/(1+$A167)^2+D40/(1+$A167)^3+E40/(1+$A167)^4+F40/(1+$A167)^5+F32*F$160/(1+$A167)^5-Data!L36-Data!L42+B58)/B60,"-")</f>
        <v/>
      </c>
      <c r="G167" s="29">
        <f>IFERROR((B40/(1+$A167)^1+C40/(1+$A167)^2+D40/(1+$A167)^3+E40/(1+$A167)^4+F40/(1+$A167)^5+F32*G$160/(1+$A167)^5-Data!L36-Data!L42+B58)/B60,"-")</f>
        <v/>
      </c>
      <c r="H167" s="29">
        <f>IFERROR((B40/(1+$A167)^1+C40/(1+$A167)^2+D40/(1+$A167)^3+E40/(1+$A167)^4+F40/(1+$A167)^5+F32*H$160/(1+$A167)^5-Data!L36-Data!L42+B58)/B60,"-")</f>
        <v/>
      </c>
      <c r="I167" s="2" t="n"/>
      <c r="J167" s="2" t="n"/>
    </row>
    <row r="168" ht="15" customHeight="1" s="74">
      <c r="A168" s="87">
        <f>B15+0.015</f>
        <v/>
      </c>
      <c r="B168" s="28">
        <f>IFERROR((B40/(1+$A168)^1+C40/(1+$A168)^2+D40/(1+$A168)^3+E40/(1+$A168)^4+F40/(1+$A168)^5+F32*B$160/(1+$A168)^5-Data!L36-Data!L42+B58)/B60,"-")</f>
        <v/>
      </c>
      <c r="C168" s="28">
        <f>IFERROR((B40/(1+$A168)^1+C40/(1+$A168)^2+D40/(1+$A168)^3+E40/(1+$A168)^4+F40/(1+$A168)^5+F32*C$160/(1+$A168)^5-Data!L36-Data!L42+B58)/B60,"-")</f>
        <v/>
      </c>
      <c r="D168" s="28">
        <f>IFERROR((B40/(1+$A168)^1+C40/(1+$A168)^2+D40/(1+$A168)^3+E40/(1+$A168)^4+F40/(1+$A168)^5+F32*D$160/(1+$A168)^5-Data!L36-Data!L42+B58)/B60,"-")</f>
        <v/>
      </c>
      <c r="E168" s="28">
        <f>IFERROR((B40/(1+$A168)^1+C40/(1+$A168)^2+D40/(1+$A168)^3+E40/(1+$A168)^4+F40/(1+$A168)^5+F32*E$160/(1+$A168)^5-Data!L36-Data!L42+B58)/B60,"-")</f>
        <v/>
      </c>
      <c r="F168" s="28">
        <f>IFERROR((B40/(1+$A168)^1+C40/(1+$A168)^2+D40/(1+$A168)^3+E40/(1+$A168)^4+F40/(1+$A168)^5+F32*F$160/(1+$A168)^5-Data!L36-Data!L42+B58)/B60,"-")</f>
        <v/>
      </c>
      <c r="G168" s="28">
        <f>IFERROR((B40/(1+$A168)^1+C40/(1+$A168)^2+D40/(1+$A168)^3+E40/(1+$A168)^4+F40/(1+$A168)^5+F32*G$160/(1+$A168)^5-Data!L36-Data!L42+B58)/B60,"-")</f>
        <v/>
      </c>
      <c r="H168" s="28">
        <f>IFERROR((B40/(1+$A168)^1+C40/(1+$A168)^2+D40/(1+$A168)^3+E40/(1+$A168)^4+F40/(1+$A168)^5+F32*H$160/(1+$A168)^5-Data!L36-Data!L42+B58)/B60,"-")</f>
        <v/>
      </c>
      <c r="I168" s="10" t="n"/>
      <c r="J168" s="10" t="n"/>
    </row>
    <row r="169" ht="15" customHeight="1" s="74">
      <c r="A169" s="86">
        <f>B15+0.02</f>
        <v/>
      </c>
      <c r="B169" s="29">
        <f>IFERROR((B40/(1+$A169)^1+C40/(1+$A169)^2+D40/(1+$A169)^3+E40/(1+$A169)^4+F40/(1+$A169)^5+F32*B$160/(1+$A169)^5-Data!L36-Data!L42+B58)/B60,"-")</f>
        <v/>
      </c>
      <c r="C169" s="29">
        <f>IFERROR((B40/(1+$A169)^1+C40/(1+$A169)^2+D40/(1+$A169)^3+E40/(1+$A169)^4+F40/(1+$A169)^5+F32*C$160/(1+$A169)^5-Data!L36-Data!L42+B58)/B60,"-")</f>
        <v/>
      </c>
      <c r="D169" s="29">
        <f>IFERROR((B40/(1+$A169)^1+C40/(1+$A169)^2+D40/(1+$A169)^3+E40/(1+$A169)^4+F40/(1+$A169)^5+F32*D$160/(1+$A169)^5-Data!L36-Data!L42+B58)/B60,"-")</f>
        <v/>
      </c>
      <c r="E169" s="29">
        <f>IFERROR((B40/(1+$A169)^1+C40/(1+$A169)^2+D40/(1+$A169)^3+E40/(1+$A169)^4+F40/(1+$A169)^5+F32*E$160/(1+$A169)^5-Data!L36-Data!L42+B58)/B60,"-")</f>
        <v/>
      </c>
      <c r="F169" s="29">
        <f>IFERROR((B40/(1+$A169)^1+C40/(1+$A169)^2+D40/(1+$A169)^3+E40/(1+$A169)^4+F40/(1+$A169)^5+F32*F$160/(1+$A169)^5-Data!L36-Data!L42+B58)/B60,"-")</f>
        <v/>
      </c>
      <c r="G169" s="29">
        <f>IFERROR((B40/(1+$A169)^1+C40/(1+$A169)^2+D40/(1+$A169)^3+E40/(1+$A169)^4+F40/(1+$A169)^5+F32*G$160/(1+$A169)^5-Data!L36-Data!L42+B58)/B60,"-")</f>
        <v/>
      </c>
      <c r="H169" s="29">
        <f>IFERROR((B40/(1+$A169)^1+C40/(1+$A169)^2+D40/(1+$A169)^3+E40/(1+$A169)^4+F40/(1+$A169)^5+F32*H$160/(1+$A169)^5-Data!L36-Data!L42+B58)/B60,"-")</f>
        <v/>
      </c>
      <c r="I169" s="2" t="n"/>
      <c r="J169" s="2" t="n"/>
    </row>
    <row r="170" ht="15" customHeight="1" s="74">
      <c r="A170" s="10" t="n"/>
      <c r="B170" s="10" t="n"/>
      <c r="C170" s="10" t="n"/>
      <c r="D170" s="10" t="n"/>
      <c r="E170" s="10" t="n"/>
      <c r="F170" s="10" t="n"/>
      <c r="G170" s="10" t="n"/>
      <c r="H170" s="10" t="n"/>
      <c r="I170" s="10" t="n"/>
      <c r="J170" s="10" t="n"/>
    </row>
    <row r="171">
      <c r="A171" s="2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</row>
    <row r="172" ht="15" customHeight="1" s="74">
      <c r="A172" s="30" t="inlineStr">
        <is>
          <t>8. VERDICT</t>
        </is>
      </c>
    </row>
    <row r="173" ht="15" customHeight="1" s="74">
      <c r="A173" s="39" t="inlineStr">
        <is>
          <t>Rating (BUY / ADD / HOLD / REDUCE / SELL)</t>
        </is>
      </c>
      <c r="B173" s="66" t="n"/>
      <c r="C173" s="63" t="n"/>
      <c r="D173" s="63" t="n"/>
      <c r="E173" s="63" t="n"/>
      <c r="F173" s="64" t="n"/>
      <c r="G173" s="2" t="n"/>
      <c r="H173" s="2" t="n"/>
      <c r="I173" s="2" t="n"/>
      <c r="J173" s="2" t="n"/>
    </row>
    <row r="174" ht="15" customHeight="1" s="74">
      <c r="A174" s="39" t="inlineStr">
        <is>
          <t>12-Month Target Price</t>
        </is>
      </c>
      <c r="B174" s="67" t="n"/>
      <c r="C174" s="63" t="n"/>
      <c r="D174" s="63" t="n"/>
      <c r="E174" s="63" t="n"/>
      <c r="F174" s="64" t="n"/>
      <c r="G174" s="10" t="n"/>
      <c r="H174" s="10" t="n"/>
      <c r="I174" s="10" t="n"/>
      <c r="J174" s="10" t="n"/>
    </row>
    <row r="175" ht="15" customHeight="1" s="74">
      <c r="A175" s="39" t="inlineStr">
        <is>
          <t>Conviction (High / Moderate / Low)</t>
        </is>
      </c>
      <c r="B175" s="66" t="n"/>
      <c r="C175" s="63" t="n"/>
      <c r="D175" s="63" t="n"/>
      <c r="E175" s="63" t="n"/>
      <c r="F175" s="64" t="n"/>
      <c r="G175" s="2" t="n"/>
      <c r="H175" s="2" t="n"/>
      <c r="I175" s="2" t="n"/>
      <c r="J175" s="2" t="n"/>
    </row>
    <row r="176" ht="15" customHeight="1" s="74">
      <c r="A176" s="39" t="inlineStr">
        <is>
          <t>Key Catalyst (with timeframe)</t>
        </is>
      </c>
      <c r="B176" s="67" t="n"/>
      <c r="C176" s="63" t="n"/>
      <c r="D176" s="63" t="n"/>
      <c r="E176" s="63" t="n"/>
      <c r="F176" s="64" t="n"/>
      <c r="G176" s="10" t="n"/>
      <c r="H176" s="10" t="n"/>
      <c r="I176" s="10" t="n"/>
      <c r="J176" s="10" t="n"/>
    </row>
    <row r="177" ht="15" customHeight="1" s="74">
      <c r="A177" s="39" t="inlineStr">
        <is>
          <t>Key Risk (with quantified downside)</t>
        </is>
      </c>
      <c r="B177" s="66" t="n"/>
      <c r="C177" s="63" t="n"/>
      <c r="D177" s="63" t="n"/>
      <c r="E177" s="63" t="n"/>
      <c r="F177" s="64" t="n"/>
      <c r="G177" s="2" t="n"/>
      <c r="H177" s="2" t="n"/>
      <c r="I177" s="2" t="n"/>
      <c r="J177" s="2" t="n"/>
    </row>
    <row r="178" ht="15" customHeight="1" s="74">
      <c r="A178" s="39" t="inlineStr">
        <is>
          <t>Thesis Summary (1-2 sentences)</t>
        </is>
      </c>
      <c r="B178" s="67" t="n"/>
      <c r="C178" s="63" t="n"/>
      <c r="D178" s="63" t="n"/>
      <c r="E178" s="63" t="n"/>
      <c r="F178" s="64" t="n"/>
      <c r="G178" s="10" t="n"/>
      <c r="H178" s="10" t="n"/>
      <c r="I178" s="10" t="n"/>
      <c r="J178" s="10" t="n"/>
    </row>
    <row r="179">
      <c r="A179" s="2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</row>
    <row r="180" ht="15" customHeight="1" s="74">
      <c r="A180" s="2" t="inlineStr">
        <is>
          <t>─ Scenario Multiple Inputs ─</t>
        </is>
      </c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</row>
    <row r="181" ht="15" customHeight="1" s="74">
      <c r="A181" s="2" t="inlineStr">
        <is>
          <t>P/E Multiple (Bear)</t>
        </is>
      </c>
      <c r="B181" s="2">
        <f>C118*0.85</f>
        <v/>
      </c>
      <c r="C181" s="2" t="n"/>
      <c r="D181" s="2" t="n"/>
      <c r="E181" s="2" t="n"/>
      <c r="F181" s="2" t="n"/>
      <c r="G181" s="2" t="n"/>
      <c r="H181" s="2" t="n"/>
      <c r="I181" s="2" t="n"/>
      <c r="J181" s="2" t="n"/>
    </row>
    <row r="182" ht="15" customHeight="1" s="74">
      <c r="A182" s="2" t="inlineStr">
        <is>
          <t>P/E Multiple (Bull)</t>
        </is>
      </c>
      <c r="B182" s="2">
        <f>C118*1.15</f>
        <v/>
      </c>
      <c r="C182" s="2" t="n"/>
      <c r="D182" s="2" t="n"/>
      <c r="E182" s="2" t="n"/>
      <c r="F182" s="2" t="n"/>
      <c r="G182" s="2" t="n"/>
      <c r="H182" s="2" t="n"/>
      <c r="I182" s="2" t="n"/>
      <c r="J182" s="2" t="n"/>
    </row>
    <row r="183" ht="15" customHeight="1" s="74">
      <c r="A183" s="2" t="inlineStr">
        <is>
          <t>EV/EBITDA Multiple (Bear)</t>
        </is>
      </c>
      <c r="B183" s="2">
        <f>C119*0.85</f>
        <v/>
      </c>
      <c r="C183" s="2" t="n"/>
      <c r="D183" s="2" t="n"/>
      <c r="E183" s="2" t="n"/>
      <c r="F183" s="2" t="n"/>
      <c r="G183" s="2" t="n"/>
      <c r="H183" s="2" t="n"/>
      <c r="I183" s="2" t="n"/>
      <c r="J183" s="2" t="n"/>
    </row>
    <row r="184" ht="15" customHeight="1" s="74">
      <c r="A184" s="2" t="inlineStr">
        <is>
          <t>EV/EBITDA Multiple (Bull)</t>
        </is>
      </c>
      <c r="B184" s="2">
        <f>C119*1.15</f>
        <v/>
      </c>
      <c r="C184" s="2" t="n"/>
      <c r="D184" s="2" t="n"/>
      <c r="E184" s="2" t="n"/>
      <c r="F184" s="2" t="n"/>
      <c r="G184" s="2" t="n"/>
      <c r="H184" s="2" t="n"/>
      <c r="I184" s="2" t="n"/>
      <c r="J184" s="2" t="n"/>
    </row>
    <row r="185" ht="15" customHeight="1" s="74">
      <c r="A185" s="2" t="inlineStr">
        <is>
          <t>FCF Yield (Bear)</t>
        </is>
      </c>
      <c r="B185" s="2">
        <f>C122*1.15</f>
        <v/>
      </c>
      <c r="C185" s="2" t="n"/>
      <c r="D185" s="2" t="n"/>
      <c r="E185" s="2" t="n"/>
      <c r="F185" s="2" t="n"/>
      <c r="G185" s="2" t="n"/>
      <c r="H185" s="2" t="n"/>
      <c r="I185" s="2" t="n"/>
      <c r="J185" s="2" t="n"/>
    </row>
    <row r="186" ht="15" customHeight="1" s="74">
      <c r="A186" s="2" t="inlineStr">
        <is>
          <t>FCF Yield (Bull)</t>
        </is>
      </c>
      <c r="B186" s="2">
        <f>C122*0.85</f>
        <v/>
      </c>
      <c r="C186" s="2" t="n"/>
      <c r="D186" s="2" t="n"/>
      <c r="E186" s="2" t="n"/>
      <c r="F186" s="2" t="n"/>
      <c r="G186" s="2" t="n"/>
      <c r="H186" s="2" t="n"/>
      <c r="I186" s="2" t="n"/>
      <c r="J186" s="2" t="n"/>
    </row>
  </sheetData>
  <mergeCells count="16">
    <mergeCell ref="A116:J116"/>
    <mergeCell ref="B176:F176"/>
    <mergeCell ref="A133:J133"/>
    <mergeCell ref="A159:J159"/>
    <mergeCell ref="B178:F178"/>
    <mergeCell ref="B177:F177"/>
    <mergeCell ref="A17:J17"/>
    <mergeCell ref="B173:F173"/>
    <mergeCell ref="A124:J124"/>
    <mergeCell ref="A3:J3"/>
    <mergeCell ref="B174:F174"/>
    <mergeCell ref="A172:J172"/>
    <mergeCell ref="A147:J147"/>
    <mergeCell ref="A64:J64"/>
    <mergeCell ref="B175:F175"/>
    <mergeCell ref="A90:J90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tabColor rgb="FF4A4A4A"/>
    <outlinePr summaryBelow="1" summaryRight="1"/>
    <pageSetUpPr/>
  </sheetPr>
  <dimension ref="A1:U185"/>
  <sheetViews>
    <sheetView tabSelected="1" zoomScale="168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77" sqref="G177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5" customHeight="1" s="74">
      <c r="A2" s="30" t="inlineStr">
        <is>
          <t>MARGINS</t>
        </is>
      </c>
    </row>
    <row r="3" ht="15" customHeight="1" s="74">
      <c r="A3" s="14" t="inlineStr">
        <is>
          <t>Period</t>
        </is>
      </c>
      <c r="B3" s="14">
        <f>Data!B13</f>
        <v/>
      </c>
      <c r="C3" s="14">
        <f>Data!C13</f>
        <v/>
      </c>
      <c r="D3" s="14">
        <f>Data!D13</f>
        <v/>
      </c>
      <c r="E3" s="14">
        <f>Data!E13</f>
        <v/>
      </c>
      <c r="F3" s="14">
        <f>Data!F13</f>
        <v/>
      </c>
      <c r="G3" s="14">
        <f>Data!G13</f>
        <v/>
      </c>
      <c r="H3" s="14">
        <f>Data!H13</f>
        <v/>
      </c>
      <c r="I3" s="14">
        <f>Data!I13</f>
        <v/>
      </c>
      <c r="J3" s="14">
        <f>Data!J13</f>
        <v/>
      </c>
      <c r="K3" s="14">
        <f>Data!K13</f>
        <v/>
      </c>
      <c r="L3" s="14">
        <f>Data!L13</f>
        <v/>
      </c>
      <c r="N3" s="14">
        <f>Data!N13</f>
        <v/>
      </c>
      <c r="O3" s="14">
        <f>Data!O13</f>
        <v/>
      </c>
      <c r="P3" s="14">
        <f>Data!P13</f>
        <v/>
      </c>
      <c r="Q3" s="14">
        <f>Data!Q13</f>
        <v/>
      </c>
      <c r="R3" s="14">
        <f>Data!R13</f>
        <v/>
      </c>
      <c r="S3" s="14">
        <f>Data!S13</f>
        <v/>
      </c>
      <c r="T3" s="14">
        <f>Data!T13</f>
        <v/>
      </c>
      <c r="U3" s="14">
        <f>Data!U13</f>
        <v/>
      </c>
    </row>
    <row r="4" ht="15" customHeight="1" s="74">
      <c r="A4" s="15" t="inlineStr">
        <is>
          <t>Gross Margin</t>
        </is>
      </c>
      <c r="B4" s="89">
        <f>IFERROR(Data!B16/Data!B14,"-")</f>
        <v/>
      </c>
      <c r="C4" s="89">
        <f>IFERROR(Data!C16/Data!C14,"-")</f>
        <v/>
      </c>
      <c r="D4" s="89">
        <f>IFERROR(Data!D16/Data!D14,"-")</f>
        <v/>
      </c>
      <c r="E4" s="89">
        <f>IFERROR(Data!E16/Data!E14,"-")</f>
        <v/>
      </c>
      <c r="F4" s="89">
        <f>IFERROR(Data!F16/Data!F14,"-")</f>
        <v/>
      </c>
      <c r="G4" s="89">
        <f>IFERROR(Data!G16/Data!G14,"-")</f>
        <v/>
      </c>
      <c r="H4" s="89">
        <f>IFERROR(Data!H16/Data!H14,"-")</f>
        <v/>
      </c>
      <c r="I4" s="89">
        <f>IFERROR(Data!I16/Data!I14,"-")</f>
        <v/>
      </c>
      <c r="J4" s="89">
        <f>IFERROR(Data!J16/Data!J14,"-")</f>
        <v/>
      </c>
      <c r="K4" s="89">
        <f>IFERROR(Data!K16/Data!K14,"-")</f>
        <v/>
      </c>
      <c r="L4" s="89">
        <f>IFERROR(Data!L16/Data!L14,"-")</f>
        <v/>
      </c>
      <c r="N4" s="89">
        <f>IFERROR(Data!N16/Data!N14,"-")</f>
        <v/>
      </c>
      <c r="O4" s="89">
        <f>IFERROR(Data!O16/Data!O14,"-")</f>
        <v/>
      </c>
      <c r="P4" s="89">
        <f>IFERROR(Data!P16/Data!P14,"-")</f>
        <v/>
      </c>
      <c r="Q4" s="89">
        <f>IFERROR(Data!Q16/Data!Q14,"-")</f>
        <v/>
      </c>
      <c r="R4" s="89">
        <f>IFERROR(Data!R16/Data!R14,"-")</f>
        <v/>
      </c>
      <c r="S4" s="89">
        <f>IFERROR(Data!S16/Data!S14,"-")</f>
        <v/>
      </c>
      <c r="T4" s="89">
        <f>IFERROR(Data!T16/Data!T14,"-")</f>
        <v/>
      </c>
      <c r="U4" s="89">
        <f>IFERROR(Data!U16/Data!U14,"-")</f>
        <v/>
      </c>
    </row>
    <row r="5" ht="15" customHeight="1" s="74">
      <c r="A5" s="17" t="inlineStr">
        <is>
          <t>EBITDA Margin</t>
        </is>
      </c>
      <c r="B5" s="90">
        <f>IFERROR(Data!B20/Data!B14,"-")</f>
        <v/>
      </c>
      <c r="C5" s="90">
        <f>IFERROR(Data!C20/Data!C14,"-")</f>
        <v/>
      </c>
      <c r="D5" s="90">
        <f>IFERROR(Data!D20/Data!D14,"-")</f>
        <v/>
      </c>
      <c r="E5" s="90">
        <f>IFERROR(Data!E20/Data!E14,"-")</f>
        <v/>
      </c>
      <c r="F5" s="90">
        <f>IFERROR(Data!F20/Data!F14,"-")</f>
        <v/>
      </c>
      <c r="G5" s="90">
        <f>IFERROR(Data!G20/Data!G14,"-")</f>
        <v/>
      </c>
      <c r="H5" s="90">
        <f>IFERROR(Data!H20/Data!H14,"-")</f>
        <v/>
      </c>
      <c r="I5" s="90">
        <f>IFERROR(Data!I20/Data!I14,"-")</f>
        <v/>
      </c>
      <c r="J5" s="90">
        <f>IFERROR(Data!J20/Data!J14,"-")</f>
        <v/>
      </c>
      <c r="K5" s="90">
        <f>IFERROR(Data!K20/Data!K14,"-")</f>
        <v/>
      </c>
      <c r="L5" s="90">
        <f>IFERROR(Data!L20/Data!L14,"-")</f>
        <v/>
      </c>
      <c r="N5" s="90">
        <f>IFERROR(Data!N20/Data!N14,"-")</f>
        <v/>
      </c>
      <c r="O5" s="90">
        <f>IFERROR(Data!O20/Data!O14,"-")</f>
        <v/>
      </c>
      <c r="P5" s="90">
        <f>IFERROR(Data!P20/Data!P14,"-")</f>
        <v/>
      </c>
      <c r="Q5" s="90">
        <f>IFERROR(Data!Q20/Data!Q14,"-")</f>
        <v/>
      </c>
      <c r="R5" s="90">
        <f>IFERROR(Data!R20/Data!R14,"-")</f>
        <v/>
      </c>
      <c r="S5" s="90">
        <f>IFERROR(Data!S20/Data!S14,"-")</f>
        <v/>
      </c>
      <c r="T5" s="90">
        <f>IFERROR(Data!T20/Data!T14,"-")</f>
        <v/>
      </c>
      <c r="U5" s="90">
        <f>IFERROR(Data!U20/Data!U14,"-")</f>
        <v/>
      </c>
    </row>
    <row r="6" ht="15" customHeight="1" s="74">
      <c r="A6" s="15" t="inlineStr">
        <is>
          <t>Operating Margin</t>
        </is>
      </c>
      <c r="B6" s="89">
        <f>IFERROR(Data!B22/Data!B14,"-")</f>
        <v/>
      </c>
      <c r="C6" s="89">
        <f>IFERROR(Data!C22/Data!C14,"-")</f>
        <v/>
      </c>
      <c r="D6" s="89">
        <f>IFERROR(Data!D22/Data!D14,"-")</f>
        <v/>
      </c>
      <c r="E6" s="89">
        <f>IFERROR(Data!E22/Data!E14,"-")</f>
        <v/>
      </c>
      <c r="F6" s="89">
        <f>IFERROR(Data!F22/Data!F14,"-")</f>
        <v/>
      </c>
      <c r="G6" s="89">
        <f>IFERROR(Data!G22/Data!G14,"-")</f>
        <v/>
      </c>
      <c r="H6" s="89">
        <f>IFERROR(Data!H22/Data!H14,"-")</f>
        <v/>
      </c>
      <c r="I6" s="89">
        <f>IFERROR(Data!I22/Data!I14,"-")</f>
        <v/>
      </c>
      <c r="J6" s="89">
        <f>IFERROR(Data!J22/Data!J14,"-")</f>
        <v/>
      </c>
      <c r="K6" s="89">
        <f>IFERROR(Data!K22/Data!K14,"-")</f>
        <v/>
      </c>
      <c r="L6" s="89">
        <f>IFERROR(Data!L22/Data!L14,"-")</f>
        <v/>
      </c>
      <c r="N6" s="89">
        <f>IFERROR(Data!N22/Data!N14,"-")</f>
        <v/>
      </c>
      <c r="O6" s="89">
        <f>IFERROR(Data!O22/Data!O14,"-")</f>
        <v/>
      </c>
      <c r="P6" s="89">
        <f>IFERROR(Data!P22/Data!P14,"-")</f>
        <v/>
      </c>
      <c r="Q6" s="89">
        <f>IFERROR(Data!Q22/Data!Q14,"-")</f>
        <v/>
      </c>
      <c r="R6" s="89">
        <f>IFERROR(Data!R22/Data!R14,"-")</f>
        <v/>
      </c>
      <c r="S6" s="89">
        <f>IFERROR(Data!S22/Data!S14,"-")</f>
        <v/>
      </c>
      <c r="T6" s="89">
        <f>IFERROR(Data!T22/Data!T14,"-")</f>
        <v/>
      </c>
      <c r="U6" s="89">
        <f>IFERROR(Data!U22/Data!U14,"-")</f>
        <v/>
      </c>
    </row>
    <row r="7" ht="15" customHeight="1" s="74">
      <c r="A7" s="17" t="inlineStr">
        <is>
          <t>Net Margin</t>
        </is>
      </c>
      <c r="B7" s="90">
        <f>IFERROR(Data!B26/Data!B14,"-")</f>
        <v/>
      </c>
      <c r="C7" s="90">
        <f>IFERROR(Data!C26/Data!C14,"-")</f>
        <v/>
      </c>
      <c r="D7" s="90">
        <f>IFERROR(Data!D26/Data!D14,"-")</f>
        <v/>
      </c>
      <c r="E7" s="90">
        <f>IFERROR(Data!E26/Data!E14,"-")</f>
        <v/>
      </c>
      <c r="F7" s="90">
        <f>IFERROR(Data!F26/Data!F14,"-")</f>
        <v/>
      </c>
      <c r="G7" s="90">
        <f>IFERROR(Data!G26/Data!G14,"-")</f>
        <v/>
      </c>
      <c r="H7" s="90">
        <f>IFERROR(Data!H26/Data!H14,"-")</f>
        <v/>
      </c>
      <c r="I7" s="90">
        <f>IFERROR(Data!I26/Data!I14,"-")</f>
        <v/>
      </c>
      <c r="J7" s="90">
        <f>IFERROR(Data!J26/Data!J14,"-")</f>
        <v/>
      </c>
      <c r="K7" s="90">
        <f>IFERROR(Data!K26/Data!K14,"-")</f>
        <v/>
      </c>
      <c r="L7" s="90">
        <f>IFERROR(Data!L26/Data!L14,"-")</f>
        <v/>
      </c>
      <c r="N7" s="90">
        <f>IFERROR(Data!N26/Data!N14,"-")</f>
        <v/>
      </c>
      <c r="O7" s="90">
        <f>IFERROR(Data!O26/Data!O14,"-")</f>
        <v/>
      </c>
      <c r="P7" s="90">
        <f>IFERROR(Data!P26/Data!P14,"-")</f>
        <v/>
      </c>
      <c r="Q7" s="90">
        <f>IFERROR(Data!Q26/Data!Q14,"-")</f>
        <v/>
      </c>
      <c r="R7" s="90">
        <f>IFERROR(Data!R26/Data!R14,"-")</f>
        <v/>
      </c>
      <c r="S7" s="90">
        <f>IFERROR(Data!S26/Data!S14,"-")</f>
        <v/>
      </c>
      <c r="T7" s="90">
        <f>IFERROR(Data!T26/Data!T14,"-")</f>
        <v/>
      </c>
      <c r="U7" s="90">
        <f>IFERROR(Data!U26/Data!U14,"-")</f>
        <v/>
      </c>
    </row>
    <row r="8" ht="15" customHeight="1" s="74">
      <c r="A8" s="15" t="inlineStr">
        <is>
          <t>FCF Margin</t>
        </is>
      </c>
      <c r="B8" s="89">
        <f>IFERROR(Data!B53/Data!B14,"-")</f>
        <v/>
      </c>
      <c r="C8" s="89">
        <f>IFERROR(Data!C53/Data!C14,"-")</f>
        <v/>
      </c>
      <c r="D8" s="89">
        <f>IFERROR(Data!D53/Data!D14,"-")</f>
        <v/>
      </c>
      <c r="E8" s="89">
        <f>IFERROR(Data!E53/Data!E14,"-")</f>
        <v/>
      </c>
      <c r="F8" s="89">
        <f>IFERROR(Data!F53/Data!F14,"-")</f>
        <v/>
      </c>
      <c r="G8" s="89">
        <f>IFERROR(Data!G53/Data!G14,"-")</f>
        <v/>
      </c>
      <c r="H8" s="89">
        <f>IFERROR(Data!H53/Data!H14,"-")</f>
        <v/>
      </c>
      <c r="I8" s="89">
        <f>IFERROR(Data!I53/Data!I14,"-")</f>
        <v/>
      </c>
      <c r="J8" s="89">
        <f>IFERROR(Data!J53/Data!J14,"-")</f>
        <v/>
      </c>
      <c r="K8" s="89">
        <f>IFERROR(Data!K53/Data!K14,"-")</f>
        <v/>
      </c>
      <c r="L8" s="89">
        <f>IFERROR(Data!L53/Data!L14,"-")</f>
        <v/>
      </c>
      <c r="N8" s="89">
        <f>IFERROR(Data!N53/Data!N14,"-")</f>
        <v/>
      </c>
      <c r="O8" s="89">
        <f>IFERROR(Data!O53/Data!O14,"-")</f>
        <v/>
      </c>
      <c r="P8" s="89">
        <f>IFERROR(Data!P53/Data!P14,"-")</f>
        <v/>
      </c>
      <c r="Q8" s="89">
        <f>IFERROR(Data!Q53/Data!Q14,"-")</f>
        <v/>
      </c>
      <c r="R8" s="89">
        <f>IFERROR(Data!R53/Data!R14,"-")</f>
        <v/>
      </c>
      <c r="S8" s="89">
        <f>IFERROR(Data!S53/Data!S14,"-")</f>
        <v/>
      </c>
      <c r="T8" s="89">
        <f>IFERROR(Data!T53/Data!T14,"-")</f>
        <v/>
      </c>
      <c r="U8" s="89">
        <f>IFERROR(Data!U53/Data!U14,"-")</f>
        <v/>
      </c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30" t="inlineStr">
        <is>
          <t>RETURNS</t>
        </is>
      </c>
    </row>
    <row r="11" ht="15" customHeight="1" s="74">
      <c r="A11" s="14" t="inlineStr">
        <is>
          <t>Period</t>
        </is>
      </c>
      <c r="B11" s="14">
        <f>Data!B13</f>
        <v/>
      </c>
      <c r="C11" s="14">
        <f>Data!C13</f>
        <v/>
      </c>
      <c r="D11" s="14">
        <f>Data!D13</f>
        <v/>
      </c>
      <c r="E11" s="14">
        <f>Data!E13</f>
        <v/>
      </c>
      <c r="F11" s="14">
        <f>Data!F13</f>
        <v/>
      </c>
      <c r="G11" s="14">
        <f>Data!G13</f>
        <v/>
      </c>
      <c r="H11" s="14">
        <f>Data!H13</f>
        <v/>
      </c>
      <c r="I11" s="14">
        <f>Data!I13</f>
        <v/>
      </c>
      <c r="J11" s="14">
        <f>Data!J13</f>
        <v/>
      </c>
      <c r="K11" s="14">
        <f>Data!K13</f>
        <v/>
      </c>
      <c r="L11" s="14">
        <f>Data!L13</f>
        <v/>
      </c>
      <c r="N11" s="14">
        <f>Data!N13</f>
        <v/>
      </c>
      <c r="O11" s="14">
        <f>Data!O13</f>
        <v/>
      </c>
      <c r="P11" s="14">
        <f>Data!P13</f>
        <v/>
      </c>
      <c r="Q11" s="14">
        <f>Data!Q13</f>
        <v/>
      </c>
      <c r="R11" s="14">
        <f>Data!R13</f>
        <v/>
      </c>
      <c r="S11" s="14">
        <f>Data!S13</f>
        <v/>
      </c>
      <c r="T11" s="14">
        <f>Data!T13</f>
        <v/>
      </c>
      <c r="U11" s="14">
        <f>Data!U13</f>
        <v/>
      </c>
    </row>
    <row r="12" ht="15" customHeight="1" s="74">
      <c r="A12" s="15" t="inlineStr">
        <is>
          <t>ROE</t>
        </is>
      </c>
      <c r="B12" s="89">
        <f>IFERROR(Data!B26/Data!B41,"-")</f>
        <v/>
      </c>
      <c r="C12" s="89">
        <f>IFERROR(Data!C26/((Data!C41+Data!B41)/2),"-")</f>
        <v/>
      </c>
      <c r="D12" s="89">
        <f>IFERROR(Data!D26/((Data!D41+Data!C41)/2),"-")</f>
        <v/>
      </c>
      <c r="E12" s="89">
        <f>IFERROR(Data!E26/((Data!E41+Data!D41)/2),"-")</f>
        <v/>
      </c>
      <c r="F12" s="89">
        <f>IFERROR(Data!F26/((Data!F41+Data!E41)/2),"-")</f>
        <v/>
      </c>
      <c r="G12" s="89">
        <f>IFERROR(Data!G26/((Data!G41+Data!F41)/2),"-")</f>
        <v/>
      </c>
      <c r="H12" s="89">
        <f>IFERROR(Data!H26/((Data!H41+Data!G41)/2),"-")</f>
        <v/>
      </c>
      <c r="I12" s="89">
        <f>IFERROR(Data!I26/((Data!I41+Data!H41)/2),"-")</f>
        <v/>
      </c>
      <c r="J12" s="89">
        <f>IFERROR(Data!J26/((Data!J41+Data!I41)/2),"-")</f>
        <v/>
      </c>
      <c r="K12" s="89">
        <f>IFERROR(Data!K26/((Data!K41+Data!J41)/2),"-")</f>
        <v/>
      </c>
      <c r="L12" s="89">
        <f>IFERROR(Data!L26/((Data!L41+Data!K41)/2),"-")</f>
        <v/>
      </c>
      <c r="N12" s="89">
        <f>IFERROR(Data!N26/Data!N41,"-")</f>
        <v/>
      </c>
      <c r="O12" s="89">
        <f>IFERROR(Data!O26/((Data!O41+Data!N41)/2),"-")</f>
        <v/>
      </c>
      <c r="P12" s="89">
        <f>IFERROR(Data!P26/((Data!P41+Data!O41)/2),"-")</f>
        <v/>
      </c>
      <c r="Q12" s="89">
        <f>IFERROR(Data!Q26/((Data!Q41+Data!P41)/2),"-")</f>
        <v/>
      </c>
      <c r="R12" s="89">
        <f>IFERROR(Data!R26/((Data!R41+Data!Q41)/2),"-")</f>
        <v/>
      </c>
      <c r="S12" s="89">
        <f>IFERROR(Data!S26/((Data!S41+Data!R41)/2),"-")</f>
        <v/>
      </c>
      <c r="T12" s="89">
        <f>IFERROR(Data!T26/((Data!T41+Data!S41)/2),"-")</f>
        <v/>
      </c>
      <c r="U12" s="89">
        <f>IFERROR(Data!U26/((Data!U41+Data!T41)/2),"-")</f>
        <v/>
      </c>
    </row>
    <row r="13" ht="15" customHeight="1" s="74">
      <c r="A13" s="17" t="inlineStr">
        <is>
          <t>ROA</t>
        </is>
      </c>
      <c r="B13" s="90">
        <f>IFERROR(Data!B26/Data!B39,"-")</f>
        <v/>
      </c>
      <c r="C13" s="90">
        <f>IFERROR(Data!C26/((Data!C39+Data!B39)/2),"-")</f>
        <v/>
      </c>
      <c r="D13" s="90">
        <f>IFERROR(Data!D26/((Data!D39+Data!C39)/2),"-")</f>
        <v/>
      </c>
      <c r="E13" s="90">
        <f>IFERROR(Data!E26/((Data!E39+Data!D39)/2),"-")</f>
        <v/>
      </c>
      <c r="F13" s="90">
        <f>IFERROR(Data!F26/((Data!F39+Data!E39)/2),"-")</f>
        <v/>
      </c>
      <c r="G13" s="90">
        <f>IFERROR(Data!G26/((Data!G39+Data!F39)/2),"-")</f>
        <v/>
      </c>
      <c r="H13" s="90">
        <f>IFERROR(Data!H26/((Data!H39+Data!G39)/2),"-")</f>
        <v/>
      </c>
      <c r="I13" s="90">
        <f>IFERROR(Data!I26/((Data!I39+Data!H39)/2),"-")</f>
        <v/>
      </c>
      <c r="J13" s="90">
        <f>IFERROR(Data!J26/((Data!J39+Data!I39)/2),"-")</f>
        <v/>
      </c>
      <c r="K13" s="90">
        <f>IFERROR(Data!K26/((Data!K39+Data!J39)/2),"-")</f>
        <v/>
      </c>
      <c r="L13" s="90">
        <f>IFERROR(Data!L26/((Data!L39+Data!K39)/2),"-")</f>
        <v/>
      </c>
      <c r="N13" s="90">
        <f>IFERROR(Data!N26/Data!N39,"-")</f>
        <v/>
      </c>
      <c r="O13" s="90">
        <f>IFERROR(Data!O26/((Data!O39+Data!N39)/2),"-")</f>
        <v/>
      </c>
      <c r="P13" s="90">
        <f>IFERROR(Data!P26/((Data!P39+Data!O39)/2),"-")</f>
        <v/>
      </c>
      <c r="Q13" s="90">
        <f>IFERROR(Data!Q26/((Data!Q39+Data!P39)/2),"-")</f>
        <v/>
      </c>
      <c r="R13" s="90">
        <f>IFERROR(Data!R26/((Data!R39+Data!Q39)/2),"-")</f>
        <v/>
      </c>
      <c r="S13" s="90">
        <f>IFERROR(Data!S26/((Data!S39+Data!R39)/2),"-")</f>
        <v/>
      </c>
      <c r="T13" s="90">
        <f>IFERROR(Data!T26/((Data!T39+Data!S39)/2),"-")</f>
        <v/>
      </c>
      <c r="U13" s="90">
        <f>IFERROR(Data!U26/((Data!U39+Data!T39)/2),"-")</f>
        <v/>
      </c>
    </row>
    <row r="14" ht="15" customHeight="1" s="74">
      <c r="A14" s="15" t="inlineStr">
        <is>
          <t>ROIC</t>
        </is>
      </c>
      <c r="B14" s="89">
        <f>IFERROR(Data!B22*(1-IFERROR(Data!B25/Data!B24,0.21))/(Data!B41+Data!B35-Data!B32),"-")</f>
        <v/>
      </c>
      <c r="C14" s="89">
        <f>IFERROR(Data!C22*(1-IFERROR(Data!C25/Data!C24,0.21))/((Data!C41+Data!C35-Data!C32+Data!B41+Data!B35-Data!B32)/2),"-")</f>
        <v/>
      </c>
      <c r="D14" s="89">
        <f>IFERROR(Data!D22*(1-IFERROR(Data!D25/Data!D24,0.21))/((Data!D41+Data!D35-Data!D32+Data!C41+Data!C35-Data!C32)/2),"-")</f>
        <v/>
      </c>
      <c r="E14" s="89">
        <f>IFERROR(Data!E22*(1-IFERROR(Data!E25/Data!E24,0.21))/((Data!E41+Data!E35-Data!E32+Data!D41+Data!D35-Data!D32)/2),"-")</f>
        <v/>
      </c>
      <c r="F14" s="89">
        <f>IFERROR(Data!F22*(1-IFERROR(Data!F25/Data!F24,0.21))/((Data!F41+Data!F35-Data!F32+Data!E41+Data!E35-Data!E32)/2),"-")</f>
        <v/>
      </c>
      <c r="G14" s="89">
        <f>IFERROR(Data!G22*(1-IFERROR(Data!G25/Data!G24,0.21))/((Data!G41+Data!G35-Data!G32+Data!F41+Data!F35-Data!F32)/2),"-")</f>
        <v/>
      </c>
      <c r="H14" s="89">
        <f>IFERROR(Data!H22*(1-IFERROR(Data!H25/Data!H24,0.21))/((Data!H41+Data!H35-Data!H32+Data!G41+Data!G35-Data!G32)/2),"-")</f>
        <v/>
      </c>
      <c r="I14" s="89">
        <f>IFERROR(Data!I22*(1-IFERROR(Data!I25/Data!I24,0.21))/((Data!I41+Data!I35-Data!I32+Data!H41+Data!H35-Data!H32)/2),"-")</f>
        <v/>
      </c>
      <c r="J14" s="89">
        <f>IFERROR(Data!J22*(1-IFERROR(Data!J25/Data!J24,0.21))/((Data!J41+Data!J35-Data!J32+Data!I41+Data!I35-Data!I32)/2),"-")</f>
        <v/>
      </c>
      <c r="K14" s="89">
        <f>IFERROR(Data!K22*(1-IFERROR(Data!K25/Data!K24,0.21))/((Data!K41+Data!K35-Data!K32+Data!J41+Data!J35-Data!J32)/2),"-")</f>
        <v/>
      </c>
      <c r="L14" s="89">
        <f>IFERROR(Data!L22*(1-IFERROR(Data!L25/Data!L24,0.21))/((Data!L41+Data!L35-Data!L32+Data!K41+Data!K35-Data!K32)/2),"-")</f>
        <v/>
      </c>
      <c r="N14" s="89">
        <f>IFERROR(Data!N22*(1-IFERROR(Data!N25/Data!N24,0.21))/(Data!N41+Data!N35-Data!N32),"-")</f>
        <v/>
      </c>
      <c r="O14" s="89">
        <f>IFERROR(Data!O22*(1-IFERROR(Data!O25/Data!O24,0.21))/((Data!O41+Data!O35-Data!O32+Data!N41+Data!N35-Data!N32)/2),"-")</f>
        <v/>
      </c>
      <c r="P14" s="89">
        <f>IFERROR(Data!P22*(1-IFERROR(Data!P25/Data!P24,0.21))/((Data!P41+Data!P35-Data!P32+Data!O41+Data!O35-Data!O32)/2),"-")</f>
        <v/>
      </c>
      <c r="Q14" s="89">
        <f>IFERROR(Data!Q22*(1-IFERROR(Data!Q25/Data!Q24,0.21))/((Data!Q41+Data!Q35-Data!Q32+Data!P41+Data!P35-Data!P32)/2),"-")</f>
        <v/>
      </c>
      <c r="R14" s="89">
        <f>IFERROR(Data!R22*(1-IFERROR(Data!R25/Data!R24,0.21))/((Data!R41+Data!R35-Data!R32+Data!Q41+Data!Q35-Data!Q32)/2),"-")</f>
        <v/>
      </c>
      <c r="S14" s="89">
        <f>IFERROR(Data!S22*(1-IFERROR(Data!S25/Data!S24,0.21))/((Data!S41+Data!S35-Data!S32+Data!R41+Data!R35-Data!R32)/2),"-")</f>
        <v/>
      </c>
      <c r="T14" s="89">
        <f>IFERROR(Data!T22*(1-IFERROR(Data!T25/Data!T24,0.21))/((Data!T41+Data!T35-Data!T32+Data!S41+Data!S35-Data!S32)/2),"-")</f>
        <v/>
      </c>
      <c r="U14" s="89">
        <f>IFERROR(Data!U22*(1-IFERROR(Data!U25/Data!U24,0.21))/((Data!U41+Data!U35-Data!U32+Data!T41+Data!T35-Data!T32)/2),"-")</f>
        <v/>
      </c>
    </row>
    <row r="15" ht="15" customHeight="1" s="74">
      <c r="A15" s="17" t="inlineStr">
        <is>
          <t>Interest Coverage</t>
        </is>
      </c>
      <c r="B15" s="91">
        <f>IFERROR(Data!B22/Data!B23,"-")</f>
        <v/>
      </c>
      <c r="C15" s="91">
        <f>IFERROR(Data!C22/Data!C23,"-")</f>
        <v/>
      </c>
      <c r="D15" s="91">
        <f>IFERROR(Data!D22/Data!D23,"-")</f>
        <v/>
      </c>
      <c r="E15" s="91">
        <f>IFERROR(Data!E22/Data!E23,"-")</f>
        <v/>
      </c>
      <c r="F15" s="91">
        <f>IFERROR(Data!F22/Data!F23,"-")</f>
        <v/>
      </c>
      <c r="G15" s="91">
        <f>IFERROR(Data!G22/Data!G23,"-")</f>
        <v/>
      </c>
      <c r="H15" s="91">
        <f>IFERROR(Data!H22/Data!H23,"-")</f>
        <v/>
      </c>
      <c r="I15" s="91">
        <f>IFERROR(Data!I22/Data!I23,"-")</f>
        <v/>
      </c>
      <c r="J15" s="91">
        <f>IFERROR(Data!J22/Data!J23,"-")</f>
        <v/>
      </c>
      <c r="K15" s="91">
        <f>IFERROR(Data!K22/Data!K23,"-")</f>
        <v/>
      </c>
      <c r="L15" s="91">
        <f>IFERROR(Data!L22/Data!L23,"-")</f>
        <v/>
      </c>
      <c r="N15" s="91">
        <f>IFERROR(Data!N22/Data!N23,"-")</f>
        <v/>
      </c>
      <c r="O15" s="91">
        <f>IFERROR(Data!O22/Data!O23,"-")</f>
        <v/>
      </c>
      <c r="P15" s="91">
        <f>IFERROR(Data!P22/Data!P23,"-")</f>
        <v/>
      </c>
      <c r="Q15" s="91">
        <f>IFERROR(Data!Q22/Data!Q23,"-")</f>
        <v/>
      </c>
      <c r="R15" s="91">
        <f>IFERROR(Data!R22/Data!R23,"-")</f>
        <v/>
      </c>
      <c r="S15" s="91">
        <f>IFERROR(Data!S22/Data!S23,"-")</f>
        <v/>
      </c>
      <c r="T15" s="91">
        <f>IFERROR(Data!T22/Data!T23,"-")</f>
        <v/>
      </c>
      <c r="U15" s="91">
        <f>IFERROR(Data!U22/Data!U23,"-")</f>
        <v/>
      </c>
    </row>
    <row r="16" ht="15" customHeight="1" s="74">
      <c r="A16" s="15" t="inlineStr">
        <is>
          <t>Debt / Equity</t>
        </is>
      </c>
      <c r="B16" s="92">
        <f>IFERROR(Data!B35/Data!B41,"-")</f>
        <v/>
      </c>
      <c r="C16" s="92">
        <f>IFERROR(Data!C35/Data!C41,"-")</f>
        <v/>
      </c>
      <c r="D16" s="92">
        <f>IFERROR(Data!D35/Data!D41,"-")</f>
        <v/>
      </c>
      <c r="E16" s="92">
        <f>IFERROR(Data!E35/Data!E41,"-")</f>
        <v/>
      </c>
      <c r="F16" s="92">
        <f>IFERROR(Data!F35/Data!F41,"-")</f>
        <v/>
      </c>
      <c r="G16" s="92">
        <f>IFERROR(Data!G35/Data!G41,"-")</f>
        <v/>
      </c>
      <c r="H16" s="92">
        <f>IFERROR(Data!H35/Data!H41,"-")</f>
        <v/>
      </c>
      <c r="I16" s="92">
        <f>IFERROR(Data!I35/Data!I41,"-")</f>
        <v/>
      </c>
      <c r="J16" s="92">
        <f>IFERROR(Data!J35/Data!J41,"-")</f>
        <v/>
      </c>
      <c r="K16" s="92">
        <f>IFERROR(Data!K35/Data!K41,"-")</f>
        <v/>
      </c>
      <c r="L16" s="92">
        <f>IFERROR(Data!L35/Data!L41,"-")</f>
        <v/>
      </c>
      <c r="N16" s="92">
        <f>IFERROR(Data!N35/Data!N41,"-")</f>
        <v/>
      </c>
      <c r="O16" s="92">
        <f>IFERROR(Data!O35/Data!O41,"-")</f>
        <v/>
      </c>
      <c r="P16" s="92">
        <f>IFERROR(Data!P35/Data!P41,"-")</f>
        <v/>
      </c>
      <c r="Q16" s="92">
        <f>IFERROR(Data!Q35/Data!Q41,"-")</f>
        <v/>
      </c>
      <c r="R16" s="92">
        <f>IFERROR(Data!R35/Data!R41,"-")</f>
        <v/>
      </c>
      <c r="S16" s="92">
        <f>IFERROR(Data!S35/Data!S41,"-")</f>
        <v/>
      </c>
      <c r="T16" s="92">
        <f>IFERROR(Data!T35/Data!T41,"-")</f>
        <v/>
      </c>
      <c r="U16" s="92">
        <f>IFERROR(Data!U35/Data!U41,"-")</f>
        <v/>
      </c>
    </row>
    <row r="17" ht="15" customHeight="1" s="74">
      <c r="A17" s="17" t="inlineStr">
        <is>
          <t>Current Ratio</t>
        </is>
      </c>
      <c r="B17" s="91">
        <f>IFERROR(Data!B37/Data!B38,"-")</f>
        <v/>
      </c>
      <c r="C17" s="91">
        <f>IFERROR(Data!C37/Data!C38,"-")</f>
        <v/>
      </c>
      <c r="D17" s="91">
        <f>IFERROR(Data!D37/Data!D38,"-")</f>
        <v/>
      </c>
      <c r="E17" s="91">
        <f>IFERROR(Data!E37/Data!E38,"-")</f>
        <v/>
      </c>
      <c r="F17" s="91">
        <f>IFERROR(Data!F37/Data!F38,"-")</f>
        <v/>
      </c>
      <c r="G17" s="91">
        <f>IFERROR(Data!G37/Data!G38,"-")</f>
        <v/>
      </c>
      <c r="H17" s="91">
        <f>IFERROR(Data!H37/Data!H38,"-")</f>
        <v/>
      </c>
      <c r="I17" s="91">
        <f>IFERROR(Data!I37/Data!I38,"-")</f>
        <v/>
      </c>
      <c r="J17" s="91">
        <f>IFERROR(Data!J37/Data!J38,"-")</f>
        <v/>
      </c>
      <c r="K17" s="91">
        <f>IFERROR(Data!K37/Data!K38,"-")</f>
        <v/>
      </c>
      <c r="L17" s="91">
        <f>IFERROR(Data!L37/Data!L38,"-")</f>
        <v/>
      </c>
      <c r="N17" s="91">
        <f>IFERROR(Data!N37/Data!N38,"-")</f>
        <v/>
      </c>
      <c r="O17" s="91">
        <f>IFERROR(Data!O37/Data!O38,"-")</f>
        <v/>
      </c>
      <c r="P17" s="91">
        <f>IFERROR(Data!P37/Data!P38,"-")</f>
        <v/>
      </c>
      <c r="Q17" s="91">
        <f>IFERROR(Data!Q37/Data!Q38,"-")</f>
        <v/>
      </c>
      <c r="R17" s="91">
        <f>IFERROR(Data!R37/Data!R38,"-")</f>
        <v/>
      </c>
      <c r="S17" s="91">
        <f>IFERROR(Data!S37/Data!S38,"-")</f>
        <v/>
      </c>
      <c r="T17" s="91">
        <f>IFERROR(Data!T37/Data!T38,"-")</f>
        <v/>
      </c>
      <c r="U17" s="91">
        <f>IFERROR(Data!U37/Data!U38,"-")</f>
        <v/>
      </c>
    </row>
    <row r="18" ht="15" customHeight="1" s="74">
      <c r="A18" s="15" t="inlineStr">
        <is>
          <t>Total Debt / EBITDA</t>
        </is>
      </c>
      <c r="B18" s="92">
        <f>IFERROR(Data!B35/Data!B20,"-")</f>
        <v/>
      </c>
      <c r="C18" s="92">
        <f>IFERROR(Data!C35/Data!C20,"-")</f>
        <v/>
      </c>
      <c r="D18" s="92">
        <f>IFERROR(Data!D35/Data!D20,"-")</f>
        <v/>
      </c>
      <c r="E18" s="92">
        <f>IFERROR(Data!E35/Data!E20,"-")</f>
        <v/>
      </c>
      <c r="F18" s="92">
        <f>IFERROR(Data!F35/Data!F20,"-")</f>
        <v/>
      </c>
      <c r="G18" s="92">
        <f>IFERROR(Data!G35/Data!G20,"-")</f>
        <v/>
      </c>
      <c r="H18" s="92">
        <f>IFERROR(Data!H35/Data!H20,"-")</f>
        <v/>
      </c>
      <c r="I18" s="92">
        <f>IFERROR(Data!I35/Data!I20,"-")</f>
        <v/>
      </c>
      <c r="J18" s="92">
        <f>IFERROR(Data!J35/Data!J20,"-")</f>
        <v/>
      </c>
      <c r="K18" s="92">
        <f>IFERROR(Data!K35/Data!K20,"-")</f>
        <v/>
      </c>
      <c r="L18" s="92">
        <f>IFERROR(Data!L35/Data!L20,"-")</f>
        <v/>
      </c>
      <c r="N18" s="92">
        <f>IFERROR(Data!N35/(Data!N20*4),"-")</f>
        <v/>
      </c>
      <c r="O18" s="92">
        <f>IFERROR(Data!O35/(Data!O20*4),"-")</f>
        <v/>
      </c>
      <c r="P18" s="92">
        <f>IFERROR(Data!P35/(Data!P20*4),"-")</f>
        <v/>
      </c>
      <c r="Q18" s="92">
        <f>IFERROR(Data!Q35/(Data!Q20*4),"-")</f>
        <v/>
      </c>
      <c r="R18" s="92">
        <f>IFERROR(Data!R35/(Data!R20*4),"-")</f>
        <v/>
      </c>
      <c r="S18" s="92">
        <f>IFERROR(Data!S35/(Data!S20*4),"-")</f>
        <v/>
      </c>
      <c r="T18" s="92">
        <f>IFERROR(Data!T35/(Data!T20*4),"-")</f>
        <v/>
      </c>
      <c r="U18" s="92">
        <f>IFERROR(Data!U35/(Data!U20*4),"-")</f>
        <v/>
      </c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N19" s="2" t="n"/>
      <c r="O19" s="2" t="n"/>
      <c r="P19" s="2" t="n"/>
      <c r="Q19" s="2" t="n"/>
      <c r="R19" s="2" t="n"/>
      <c r="S19" s="2" t="n"/>
      <c r="T19" s="2" t="n"/>
      <c r="U19" s="2" t="n"/>
    </row>
    <row r="20" ht="15" customHeight="1" s="74">
      <c r="A20" s="30" t="inlineStr">
        <is>
          <t>GROWTH RATES (YoY)</t>
        </is>
      </c>
    </row>
    <row r="21" ht="15" customHeight="1" s="74">
      <c r="A21" s="14" t="inlineStr">
        <is>
          <t>Period</t>
        </is>
      </c>
      <c r="B21" s="14">
        <f>Data!B13</f>
        <v/>
      </c>
      <c r="C21" s="14">
        <f>Data!C13</f>
        <v/>
      </c>
      <c r="D21" s="14">
        <f>Data!D13</f>
        <v/>
      </c>
      <c r="E21" s="14">
        <f>Data!E13</f>
        <v/>
      </c>
      <c r="F21" s="14">
        <f>Data!F13</f>
        <v/>
      </c>
      <c r="G21" s="14">
        <f>Data!G13</f>
        <v/>
      </c>
      <c r="H21" s="14">
        <f>Data!H13</f>
        <v/>
      </c>
      <c r="I21" s="14">
        <f>Data!I13</f>
        <v/>
      </c>
      <c r="J21" s="14">
        <f>Data!J13</f>
        <v/>
      </c>
      <c r="K21" s="14">
        <f>Data!K13</f>
        <v/>
      </c>
      <c r="L21" s="14">
        <f>Data!L13</f>
        <v/>
      </c>
      <c r="N21" s="14">
        <f>Data!N13</f>
        <v/>
      </c>
      <c r="O21" s="14">
        <f>Data!O13</f>
        <v/>
      </c>
      <c r="P21" s="14">
        <f>Data!P13</f>
        <v/>
      </c>
      <c r="Q21" s="14">
        <f>Data!Q13</f>
        <v/>
      </c>
      <c r="R21" s="14">
        <f>Data!R13</f>
        <v/>
      </c>
      <c r="S21" s="14">
        <f>Data!S13</f>
        <v/>
      </c>
      <c r="T21" s="14">
        <f>Data!T13</f>
        <v/>
      </c>
      <c r="U21" s="14">
        <f>Data!U13</f>
        <v/>
      </c>
    </row>
    <row r="22" ht="15" customHeight="1" s="74">
      <c r="A22" s="15" t="inlineStr">
        <is>
          <t>Revenue Growth</t>
        </is>
      </c>
      <c r="B22" s="89" t="n"/>
      <c r="C22" s="89">
        <f>IFERROR((Data!C14-Data!B14)/ABS(Data!B14),"-")</f>
        <v/>
      </c>
      <c r="D22" s="89">
        <f>IFERROR((Data!D14-Data!C14)/ABS(Data!C14),"-")</f>
        <v/>
      </c>
      <c r="E22" s="89">
        <f>IFERROR((Data!E14-Data!D14)/ABS(Data!D14),"-")</f>
        <v/>
      </c>
      <c r="F22" s="89">
        <f>IFERROR((Data!F14-Data!E14)/ABS(Data!E14),"-")</f>
        <v/>
      </c>
      <c r="G22" s="89">
        <f>IFERROR((Data!G14-Data!F14)/ABS(Data!F14),"-")</f>
        <v/>
      </c>
      <c r="H22" s="89">
        <f>IFERROR((Data!H14-Data!G14)/ABS(Data!G14),"-")</f>
        <v/>
      </c>
      <c r="I22" s="89">
        <f>IFERROR((Data!I14-Data!H14)/ABS(Data!H14),"-")</f>
        <v/>
      </c>
      <c r="J22" s="89">
        <f>IFERROR((Data!J14-Data!I14)/ABS(Data!I14),"-")</f>
        <v/>
      </c>
      <c r="K22" s="89">
        <f>IFERROR((Data!K14-Data!J14)/ABS(Data!J14),"-")</f>
        <v/>
      </c>
      <c r="L22" s="89">
        <f>IFERROR((Data!L14-Data!K14)/ABS(Data!K14),"-")</f>
        <v/>
      </c>
      <c r="N22" s="89" t="n"/>
      <c r="O22" s="89" t="n"/>
      <c r="P22" s="89" t="n"/>
      <c r="Q22" s="89" t="n"/>
      <c r="R22" s="89" t="n"/>
      <c r="S22" s="89" t="n"/>
      <c r="T22" s="89" t="n"/>
      <c r="U22" s="89" t="n"/>
    </row>
    <row r="23" ht="15" customHeight="1" s="74">
      <c r="A23" s="17" t="inlineStr">
        <is>
          <t>EBITDA Growth</t>
        </is>
      </c>
      <c r="B23" s="90" t="n"/>
      <c r="C23" s="90">
        <f>IFERROR((Data!C20-Data!B20)/ABS(Data!B20),"-")</f>
        <v/>
      </c>
      <c r="D23" s="90">
        <f>IFERROR((Data!D20-Data!C20)/ABS(Data!C20),"-")</f>
        <v/>
      </c>
      <c r="E23" s="90">
        <f>IFERROR((Data!E20-Data!D20)/ABS(Data!D20),"-")</f>
        <v/>
      </c>
      <c r="F23" s="90">
        <f>IFERROR((Data!F20-Data!E20)/ABS(Data!E20),"-")</f>
        <v/>
      </c>
      <c r="G23" s="90">
        <f>IFERROR((Data!G20-Data!F20)/ABS(Data!F20),"-")</f>
        <v/>
      </c>
      <c r="H23" s="90">
        <f>IFERROR((Data!H20-Data!G20)/ABS(Data!G20),"-")</f>
        <v/>
      </c>
      <c r="I23" s="90">
        <f>IFERROR((Data!I20-Data!H20)/ABS(Data!H20),"-")</f>
        <v/>
      </c>
      <c r="J23" s="90">
        <f>IFERROR((Data!J20-Data!I20)/ABS(Data!I20),"-")</f>
        <v/>
      </c>
      <c r="K23" s="90">
        <f>IFERROR((Data!K20-Data!J20)/ABS(Data!J20),"-")</f>
        <v/>
      </c>
      <c r="L23" s="90">
        <f>IFERROR((Data!L20-Data!K20)/ABS(Data!K20),"-")</f>
        <v/>
      </c>
      <c r="N23" s="90" t="n"/>
      <c r="O23" s="90" t="n"/>
      <c r="P23" s="90" t="n"/>
      <c r="Q23" s="90" t="n"/>
      <c r="R23" s="90" t="n"/>
      <c r="S23" s="90" t="n"/>
      <c r="T23" s="90" t="n"/>
      <c r="U23" s="90" t="n"/>
    </row>
    <row r="24" ht="15" customHeight="1" s="74">
      <c r="A24" s="15" t="inlineStr">
        <is>
          <t>EPS Growth</t>
        </is>
      </c>
      <c r="B24" s="89" t="n"/>
      <c r="C24" s="89">
        <f>IFERROR((Data!C27-Data!B27)/ABS(Data!B27),"-")</f>
        <v/>
      </c>
      <c r="D24" s="89">
        <f>IFERROR((Data!D27-Data!C27)/ABS(Data!C27),"-")</f>
        <v/>
      </c>
      <c r="E24" s="89">
        <f>IFERROR((Data!E27-Data!D27)/ABS(Data!D27),"-")</f>
        <v/>
      </c>
      <c r="F24" s="89">
        <f>IFERROR((Data!F27-Data!E27)/ABS(Data!E27),"-")</f>
        <v/>
      </c>
      <c r="G24" s="89">
        <f>IFERROR((Data!G27-Data!F27)/ABS(Data!F27),"-")</f>
        <v/>
      </c>
      <c r="H24" s="89">
        <f>IFERROR((Data!H27-Data!G27)/ABS(Data!G27),"-")</f>
        <v/>
      </c>
      <c r="I24" s="89">
        <f>IFERROR((Data!I27-Data!H27)/ABS(Data!H27),"-")</f>
        <v/>
      </c>
      <c r="J24" s="89">
        <f>IFERROR((Data!J27-Data!I27)/ABS(Data!I27),"-")</f>
        <v/>
      </c>
      <c r="K24" s="89">
        <f>IFERROR((Data!K27-Data!J27)/ABS(Data!J27),"-")</f>
        <v/>
      </c>
      <c r="L24" s="89">
        <f>IFERROR((Data!L27-Data!K27)/ABS(Data!K27),"-")</f>
        <v/>
      </c>
      <c r="N24" s="89" t="n"/>
      <c r="O24" s="89" t="n"/>
      <c r="P24" s="89" t="n"/>
      <c r="Q24" s="89" t="n"/>
      <c r="R24" s="89" t="n"/>
      <c r="S24" s="89" t="n"/>
      <c r="T24" s="89" t="n"/>
      <c r="U24" s="89" t="n"/>
    </row>
    <row r="25" ht="15" customHeight="1" s="74">
      <c r="A25" s="17" t="inlineStr">
        <is>
          <t>Net Income Growth</t>
        </is>
      </c>
      <c r="B25" s="90" t="n"/>
      <c r="C25" s="90">
        <f>IFERROR((Data!C26-Data!B26)/ABS(Data!B26),"-")</f>
        <v/>
      </c>
      <c r="D25" s="90">
        <f>IFERROR((Data!D26-Data!C26)/ABS(Data!C26),"-")</f>
        <v/>
      </c>
      <c r="E25" s="90">
        <f>IFERROR((Data!E26-Data!D26)/ABS(Data!D26),"-")</f>
        <v/>
      </c>
      <c r="F25" s="90">
        <f>IFERROR((Data!F26-Data!E26)/ABS(Data!E26),"-")</f>
        <v/>
      </c>
      <c r="G25" s="90">
        <f>IFERROR((Data!G26-Data!F26)/ABS(Data!F26),"-")</f>
        <v/>
      </c>
      <c r="H25" s="90">
        <f>IFERROR((Data!H26-Data!G26)/ABS(Data!G26),"-")</f>
        <v/>
      </c>
      <c r="I25" s="90">
        <f>IFERROR((Data!I26-Data!H26)/ABS(Data!H26),"-")</f>
        <v/>
      </c>
      <c r="J25" s="90">
        <f>IFERROR((Data!J26-Data!I26)/ABS(Data!I26),"-")</f>
        <v/>
      </c>
      <c r="K25" s="90">
        <f>IFERROR((Data!K26-Data!J26)/ABS(Data!J26),"-")</f>
        <v/>
      </c>
      <c r="L25" s="90">
        <f>IFERROR((Data!L26-Data!K26)/ABS(Data!K26),"-")</f>
        <v/>
      </c>
      <c r="N25" s="90" t="n"/>
      <c r="O25" s="90" t="n"/>
      <c r="P25" s="90" t="n"/>
      <c r="Q25" s="90" t="n"/>
      <c r="R25" s="90" t="n"/>
      <c r="S25" s="90" t="n"/>
      <c r="T25" s="90" t="n"/>
      <c r="U25" s="90" t="n"/>
    </row>
    <row r="26" ht="15" customHeight="1" s="74">
      <c r="A26" s="15" t="inlineStr">
        <is>
          <t>FCF Growth</t>
        </is>
      </c>
      <c r="B26" s="89" t="n"/>
      <c r="C26" s="89">
        <f>IFERROR((Data!C53-Data!B53)/ABS(Data!B53),"-")</f>
        <v/>
      </c>
      <c r="D26" s="89">
        <f>IFERROR((Data!D53-Data!C53)/ABS(Data!C53),"-")</f>
        <v/>
      </c>
      <c r="E26" s="89">
        <f>IFERROR((Data!E53-Data!D53)/ABS(Data!D53),"-")</f>
        <v/>
      </c>
      <c r="F26" s="89">
        <f>IFERROR((Data!F53-Data!E53)/ABS(Data!E53),"-")</f>
        <v/>
      </c>
      <c r="G26" s="89">
        <f>IFERROR((Data!G53-Data!F53)/ABS(Data!F53),"-")</f>
        <v/>
      </c>
      <c r="H26" s="89">
        <f>IFERROR((Data!H53-Data!G53)/ABS(Data!G53),"-")</f>
        <v/>
      </c>
      <c r="I26" s="89">
        <f>IFERROR((Data!I53-Data!H53)/ABS(Data!H53),"-")</f>
        <v/>
      </c>
      <c r="J26" s="89">
        <f>IFERROR((Data!J53-Data!I53)/ABS(Data!I53),"-")</f>
        <v/>
      </c>
      <c r="K26" s="89">
        <f>IFERROR((Data!K53-Data!J53)/ABS(Data!J53),"-")</f>
        <v/>
      </c>
      <c r="L26" s="89">
        <f>IFERROR((Data!L53-Data!K53)/ABS(Data!K53),"-")</f>
        <v/>
      </c>
      <c r="N26" s="89" t="n"/>
      <c r="O26" s="89" t="n"/>
      <c r="P26" s="89" t="n"/>
      <c r="Q26" s="89" t="n"/>
      <c r="R26" s="89" t="n"/>
      <c r="S26" s="89" t="n"/>
      <c r="T26" s="89" t="n"/>
      <c r="U26" s="89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N27" s="2" t="n"/>
      <c r="O27" s="2" t="n"/>
      <c r="P27" s="2" t="n"/>
      <c r="Q27" s="2" t="n"/>
      <c r="R27" s="2" t="n"/>
      <c r="S27" s="2" t="n"/>
      <c r="T27" s="2" t="n"/>
      <c r="U27" s="2" t="n"/>
    </row>
    <row r="28" ht="15" customHeight="1" s="74">
      <c r="A28" s="30" t="inlineStr">
        <is>
          <t>PER SHARE METRICS</t>
        </is>
      </c>
    </row>
    <row r="29" ht="15" customHeight="1" s="74">
      <c r="A29" s="14" t="inlineStr">
        <is>
          <t>Period</t>
        </is>
      </c>
      <c r="B29" s="14">
        <f>Data!B13</f>
        <v/>
      </c>
      <c r="C29" s="14">
        <f>Data!C13</f>
        <v/>
      </c>
      <c r="D29" s="14">
        <f>Data!D13</f>
        <v/>
      </c>
      <c r="E29" s="14">
        <f>Data!E13</f>
        <v/>
      </c>
      <c r="F29" s="14">
        <f>Data!F13</f>
        <v/>
      </c>
      <c r="G29" s="14">
        <f>Data!G13</f>
        <v/>
      </c>
      <c r="H29" s="14">
        <f>Data!H13</f>
        <v/>
      </c>
      <c r="I29" s="14">
        <f>Data!I13</f>
        <v/>
      </c>
      <c r="J29" s="14">
        <f>Data!J13</f>
        <v/>
      </c>
      <c r="K29" s="14">
        <f>Data!K13</f>
        <v/>
      </c>
      <c r="L29" s="14">
        <f>Data!L13</f>
        <v/>
      </c>
      <c r="N29" s="14">
        <f>Data!N13</f>
        <v/>
      </c>
      <c r="O29" s="14">
        <f>Data!O13</f>
        <v/>
      </c>
      <c r="P29" s="14">
        <f>Data!P13</f>
        <v/>
      </c>
      <c r="Q29" s="14">
        <f>Data!Q13</f>
        <v/>
      </c>
      <c r="R29" s="14">
        <f>Data!R13</f>
        <v/>
      </c>
      <c r="S29" s="14">
        <f>Data!S13</f>
        <v/>
      </c>
      <c r="T29" s="14">
        <f>Data!T13</f>
        <v/>
      </c>
      <c r="U29" s="14">
        <f>Data!U13</f>
        <v/>
      </c>
    </row>
    <row r="30" ht="15" customHeight="1" s="74">
      <c r="A30" s="15" t="inlineStr">
        <is>
          <t>Book Value / Share</t>
        </is>
      </c>
      <c r="B30" s="21">
        <f>IFERROR(Data!B41/Data!B28,"-")</f>
        <v/>
      </c>
      <c r="C30" s="21">
        <f>IFERROR(Data!C41/Data!C28,"-")</f>
        <v/>
      </c>
      <c r="D30" s="21">
        <f>IFERROR(Data!D41/Data!D28,"-")</f>
        <v/>
      </c>
      <c r="E30" s="21">
        <f>IFERROR(Data!E41/Data!E28,"-")</f>
        <v/>
      </c>
      <c r="F30" s="21">
        <f>IFERROR(Data!F41/Data!F28,"-")</f>
        <v/>
      </c>
      <c r="G30" s="21">
        <f>IFERROR(Data!G41/Data!G28,"-")</f>
        <v/>
      </c>
      <c r="H30" s="21">
        <f>IFERROR(Data!H41/Data!H28,"-")</f>
        <v/>
      </c>
      <c r="I30" s="21">
        <f>IFERROR(Data!I41/Data!I28,"-")</f>
        <v/>
      </c>
      <c r="J30" s="21">
        <f>IFERROR(Data!J41/Data!J28,"-")</f>
        <v/>
      </c>
      <c r="K30" s="21">
        <f>IFERROR(Data!K41/Data!K28,"-")</f>
        <v/>
      </c>
      <c r="L30" s="21">
        <f>IFERROR(Data!L41/Data!L28,"-")</f>
        <v/>
      </c>
      <c r="N30" s="21">
        <f>IFERROR(Data!N41/Data!N28,"-")</f>
        <v/>
      </c>
      <c r="O30" s="21">
        <f>IFERROR(Data!O41/Data!O28,"-")</f>
        <v/>
      </c>
      <c r="P30" s="21">
        <f>IFERROR(Data!P41/Data!P28,"-")</f>
        <v/>
      </c>
      <c r="Q30" s="21">
        <f>IFERROR(Data!Q41/Data!Q28,"-")</f>
        <v/>
      </c>
      <c r="R30" s="21">
        <f>IFERROR(Data!R41/Data!R28,"-")</f>
        <v/>
      </c>
      <c r="S30" s="21">
        <f>IFERROR(Data!S41/Data!S28,"-")</f>
        <v/>
      </c>
      <c r="T30" s="21">
        <f>IFERROR(Data!T41/Data!T28,"-")</f>
        <v/>
      </c>
      <c r="U30" s="21">
        <f>IFERROR(Data!U41/Data!U28,"-")</f>
        <v/>
      </c>
    </row>
    <row r="31" ht="15" customHeight="1" s="74">
      <c r="A31" s="17" t="inlineStr">
        <is>
          <t>FCF / Share</t>
        </is>
      </c>
      <c r="B31" s="22">
        <f>IFERROR(Data!B53/Data!B28,"-")</f>
        <v/>
      </c>
      <c r="C31" s="22">
        <f>IFERROR(Data!C53/Data!C28,"-")</f>
        <v/>
      </c>
      <c r="D31" s="22">
        <f>IFERROR(Data!D53/Data!D28,"-")</f>
        <v/>
      </c>
      <c r="E31" s="22">
        <f>IFERROR(Data!E53/Data!E28,"-")</f>
        <v/>
      </c>
      <c r="F31" s="22">
        <f>IFERROR(Data!F53/Data!F28,"-")</f>
        <v/>
      </c>
      <c r="G31" s="22">
        <f>IFERROR(Data!G53/Data!G28,"-")</f>
        <v/>
      </c>
      <c r="H31" s="22">
        <f>IFERROR(Data!H53/Data!H28,"-")</f>
        <v/>
      </c>
      <c r="I31" s="22">
        <f>IFERROR(Data!I53/Data!I28,"-")</f>
        <v/>
      </c>
      <c r="J31" s="22">
        <f>IFERROR(Data!J53/Data!J28,"-")</f>
        <v/>
      </c>
      <c r="K31" s="22">
        <f>IFERROR(Data!K53/Data!K28,"-")</f>
        <v/>
      </c>
      <c r="L31" s="22">
        <f>IFERROR(Data!L53/Data!L28,"-")</f>
        <v/>
      </c>
      <c r="N31" s="22">
        <f>IFERROR(Data!N53/Data!N28,"-")</f>
        <v/>
      </c>
      <c r="O31" s="22">
        <f>IFERROR(Data!O53/Data!O28,"-")</f>
        <v/>
      </c>
      <c r="P31" s="22">
        <f>IFERROR(Data!P53/Data!P28,"-")</f>
        <v/>
      </c>
      <c r="Q31" s="22">
        <f>IFERROR(Data!Q53/Data!Q28,"-")</f>
        <v/>
      </c>
      <c r="R31" s="22">
        <f>IFERROR(Data!R53/Data!R28,"-")</f>
        <v/>
      </c>
      <c r="S31" s="22">
        <f>IFERROR(Data!S53/Data!S28,"-")</f>
        <v/>
      </c>
      <c r="T31" s="22">
        <f>IFERROR(Data!T53/Data!T28,"-")</f>
        <v/>
      </c>
      <c r="U31" s="22">
        <f>IFERROR(Data!U53/Data!U28,"-")</f>
        <v/>
      </c>
    </row>
    <row r="32" ht="15" customHeight="1" s="74">
      <c r="A32" s="15" t="inlineStr">
        <is>
          <t>Revenue / Share</t>
        </is>
      </c>
      <c r="B32" s="21">
        <f>IFERROR(Data!B14/Data!B28,"-")</f>
        <v/>
      </c>
      <c r="C32" s="21">
        <f>IFERROR(Data!C14/Data!C28,"-")</f>
        <v/>
      </c>
      <c r="D32" s="21">
        <f>IFERROR(Data!D14/Data!D28,"-")</f>
        <v/>
      </c>
      <c r="E32" s="21">
        <f>IFERROR(Data!E14/Data!E28,"-")</f>
        <v/>
      </c>
      <c r="F32" s="21">
        <f>IFERROR(Data!F14/Data!F28,"-")</f>
        <v/>
      </c>
      <c r="G32" s="21">
        <f>IFERROR(Data!G14/Data!G28,"-")</f>
        <v/>
      </c>
      <c r="H32" s="21">
        <f>IFERROR(Data!H14/Data!H28,"-")</f>
        <v/>
      </c>
      <c r="I32" s="21">
        <f>IFERROR(Data!I14/Data!I28,"-")</f>
        <v/>
      </c>
      <c r="J32" s="21">
        <f>IFERROR(Data!J14/Data!J28,"-")</f>
        <v/>
      </c>
      <c r="K32" s="21">
        <f>IFERROR(Data!K14/Data!K28,"-")</f>
        <v/>
      </c>
      <c r="L32" s="21">
        <f>IFERROR(Data!L14/Data!L28,"-")</f>
        <v/>
      </c>
      <c r="N32" s="21">
        <f>IFERROR(Data!N14/Data!N28,"-")</f>
        <v/>
      </c>
      <c r="O32" s="21">
        <f>IFERROR(Data!O14/Data!O28,"-")</f>
        <v/>
      </c>
      <c r="P32" s="21">
        <f>IFERROR(Data!P14/Data!P28,"-")</f>
        <v/>
      </c>
      <c r="Q32" s="21">
        <f>IFERROR(Data!Q14/Data!Q28,"-")</f>
        <v/>
      </c>
      <c r="R32" s="21">
        <f>IFERROR(Data!R14/Data!R28,"-")</f>
        <v/>
      </c>
      <c r="S32" s="21">
        <f>IFERROR(Data!S14/Data!S28,"-")</f>
        <v/>
      </c>
      <c r="T32" s="21">
        <f>IFERROR(Data!T14/Data!T28,"-")</f>
        <v/>
      </c>
      <c r="U32" s="21">
        <f>IFERROR(Data!U14/Data!U28,"-")</f>
        <v/>
      </c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N33" s="2" t="n"/>
      <c r="O33" s="2" t="n"/>
      <c r="P33" s="2" t="n"/>
      <c r="Q33" s="2" t="n"/>
      <c r="R33" s="2" t="n"/>
      <c r="S33" s="2" t="n"/>
      <c r="T33" s="2" t="n"/>
      <c r="U33" s="2" t="n"/>
    </row>
    <row r="34" ht="15" customHeight="1" s="74">
      <c r="A34" s="30" t="inlineStr">
        <is>
          <t>SOLVENCY &amp; CAPITAL STRUCTURE</t>
        </is>
      </c>
    </row>
    <row r="35" ht="15" customHeight="1" s="74">
      <c r="A35" s="14" t="inlineStr">
        <is>
          <t>Period</t>
        </is>
      </c>
      <c r="B35" s="14">
        <f>Data!B13</f>
        <v/>
      </c>
      <c r="C35" s="14">
        <f>Data!C13</f>
        <v/>
      </c>
      <c r="D35" s="14">
        <f>Data!D13</f>
        <v/>
      </c>
      <c r="E35" s="14">
        <f>Data!E13</f>
        <v/>
      </c>
      <c r="F35" s="14">
        <f>Data!F13</f>
        <v/>
      </c>
      <c r="G35" s="14">
        <f>Data!G13</f>
        <v/>
      </c>
      <c r="H35" s="14">
        <f>Data!H13</f>
        <v/>
      </c>
      <c r="I35" s="14">
        <f>Data!I13</f>
        <v/>
      </c>
      <c r="J35" s="14">
        <f>Data!J13</f>
        <v/>
      </c>
      <c r="K35" s="14">
        <f>Data!K13</f>
        <v/>
      </c>
      <c r="L35" s="14">
        <f>Data!L13</f>
        <v/>
      </c>
      <c r="N35" s="14">
        <f>Data!N13</f>
        <v/>
      </c>
      <c r="O35" s="14">
        <f>Data!O13</f>
        <v/>
      </c>
      <c r="P35" s="14">
        <f>Data!P13</f>
        <v/>
      </c>
      <c r="Q35" s="14">
        <f>Data!Q13</f>
        <v/>
      </c>
      <c r="R35" s="14">
        <f>Data!R13</f>
        <v/>
      </c>
      <c r="S35" s="14">
        <f>Data!S13</f>
        <v/>
      </c>
      <c r="T35" s="14">
        <f>Data!T13</f>
        <v/>
      </c>
      <c r="U35" s="14">
        <f>Data!U13</f>
        <v/>
      </c>
    </row>
    <row r="36" ht="15" customHeight="1" s="74">
      <c r="A36" s="15" t="inlineStr">
        <is>
          <t>Primary Structure Margin ($M)</t>
        </is>
      </c>
      <c r="B36" s="23">
        <f>IFERROR(Data!B41-(Data!B39-Data!B37),"-")</f>
        <v/>
      </c>
      <c r="C36" s="23">
        <f>IFERROR(Data!C41-(Data!C39-Data!C37),"-")</f>
        <v/>
      </c>
      <c r="D36" s="23">
        <f>IFERROR(Data!D41-(Data!D39-Data!D37),"-")</f>
        <v/>
      </c>
      <c r="E36" s="23">
        <f>IFERROR(Data!E41-(Data!E39-Data!E37),"-")</f>
        <v/>
      </c>
      <c r="F36" s="23">
        <f>IFERROR(Data!F41-(Data!F39-Data!F37),"-")</f>
        <v/>
      </c>
      <c r="G36" s="23">
        <f>IFERROR(Data!G41-(Data!G39-Data!G37),"-")</f>
        <v/>
      </c>
      <c r="H36" s="23">
        <f>IFERROR(Data!H41-(Data!H39-Data!H37),"-")</f>
        <v/>
      </c>
      <c r="I36" s="23">
        <f>IFERROR(Data!I41-(Data!I39-Data!I37),"-")</f>
        <v/>
      </c>
      <c r="J36" s="23">
        <f>IFERROR(Data!J41-(Data!J39-Data!J37),"-")</f>
        <v/>
      </c>
      <c r="K36" s="23">
        <f>IFERROR(Data!K41-(Data!K39-Data!K37),"-")</f>
        <v/>
      </c>
      <c r="L36" s="23">
        <f>IFERROR(Data!L41-(Data!L39-Data!L37),"-")</f>
        <v/>
      </c>
      <c r="N36" s="23">
        <f>IFERROR(Data!N41-(Data!N39-Data!N37),"-")</f>
        <v/>
      </c>
      <c r="O36" s="23">
        <f>IFERROR(Data!O41-(Data!O39-Data!O37),"-")</f>
        <v/>
      </c>
      <c r="P36" s="23">
        <f>IFERROR(Data!P41-(Data!P39-Data!P37),"-")</f>
        <v/>
      </c>
      <c r="Q36" s="23">
        <f>IFERROR(Data!Q41-(Data!Q39-Data!Q37),"-")</f>
        <v/>
      </c>
      <c r="R36" s="23">
        <f>IFERROR(Data!R41-(Data!R39-Data!R37),"-")</f>
        <v/>
      </c>
      <c r="S36" s="23">
        <f>IFERROR(Data!S41-(Data!S39-Data!S37),"-")</f>
        <v/>
      </c>
      <c r="T36" s="23">
        <f>IFERROR(Data!T41-(Data!T39-Data!T37),"-")</f>
        <v/>
      </c>
      <c r="U36" s="23">
        <f>IFERROR(Data!U41-(Data!U39-Data!U37),"-")</f>
        <v/>
      </c>
    </row>
    <row r="37" ht="15" customHeight="1" s="74">
      <c r="A37" s="17" t="inlineStr">
        <is>
          <t>Primary Structure Ratio</t>
        </is>
      </c>
      <c r="B37" s="93">
        <f>IFERROR(Data!B41/(Data!B39-Data!B37),"-")</f>
        <v/>
      </c>
      <c r="C37" s="93">
        <f>IFERROR(Data!C41/(Data!C39-Data!C37),"-")</f>
        <v/>
      </c>
      <c r="D37" s="93">
        <f>IFERROR(Data!D41/(Data!D39-Data!D37),"-")</f>
        <v/>
      </c>
      <c r="E37" s="93">
        <f>IFERROR(Data!E41/(Data!E39-Data!E37),"-")</f>
        <v/>
      </c>
      <c r="F37" s="93">
        <f>IFERROR(Data!F41/(Data!F39-Data!F37),"-")</f>
        <v/>
      </c>
      <c r="G37" s="93">
        <f>IFERROR(Data!G41/(Data!G39-Data!G37),"-")</f>
        <v/>
      </c>
      <c r="H37" s="93">
        <f>IFERROR(Data!H41/(Data!H39-Data!H37),"-")</f>
        <v/>
      </c>
      <c r="I37" s="93">
        <f>IFERROR(Data!I41/(Data!I39-Data!I37),"-")</f>
        <v/>
      </c>
      <c r="J37" s="93">
        <f>IFERROR(Data!J41/(Data!J39-Data!J37),"-")</f>
        <v/>
      </c>
      <c r="K37" s="93">
        <f>IFERROR(Data!K41/(Data!K39-Data!K37),"-")</f>
        <v/>
      </c>
      <c r="L37" s="93">
        <f>IFERROR(Data!L41/(Data!L39-Data!L37),"-")</f>
        <v/>
      </c>
      <c r="N37" s="93">
        <f>IFERROR(Data!N41/(Data!N39-Data!N37),"-")</f>
        <v/>
      </c>
      <c r="O37" s="93">
        <f>IFERROR(Data!O41/(Data!O39-Data!O37),"-")</f>
        <v/>
      </c>
      <c r="P37" s="93">
        <f>IFERROR(Data!P41/(Data!P39-Data!P37),"-")</f>
        <v/>
      </c>
      <c r="Q37" s="93">
        <f>IFERROR(Data!Q41/(Data!Q39-Data!Q37),"-")</f>
        <v/>
      </c>
      <c r="R37" s="93">
        <f>IFERROR(Data!R41/(Data!R39-Data!R37),"-")</f>
        <v/>
      </c>
      <c r="S37" s="93">
        <f>IFERROR(Data!S41/(Data!S39-Data!S37),"-")</f>
        <v/>
      </c>
      <c r="T37" s="93">
        <f>IFERROR(Data!T41/(Data!T39-Data!T37),"-")</f>
        <v/>
      </c>
      <c r="U37" s="93">
        <f>IFERROR(Data!U41/(Data!U39-Data!U37),"-")</f>
        <v/>
      </c>
    </row>
    <row r="38" ht="15" customHeight="1" s="74">
      <c r="A38" s="15" t="inlineStr">
        <is>
          <t>Secondary Structure Margin ($M)</t>
        </is>
      </c>
      <c r="B38" s="23">
        <f>IFERROR((Data!B41+Data!B34)-(Data!B39-Data!B37),"-")</f>
        <v/>
      </c>
      <c r="C38" s="23">
        <f>IFERROR((Data!C41+Data!C34)-(Data!C39-Data!C37),"-")</f>
        <v/>
      </c>
      <c r="D38" s="23">
        <f>IFERROR((Data!D41+Data!D34)-(Data!D39-Data!D37),"-")</f>
        <v/>
      </c>
      <c r="E38" s="23">
        <f>IFERROR((Data!E41+Data!E34)-(Data!E39-Data!E37),"-")</f>
        <v/>
      </c>
      <c r="F38" s="23">
        <f>IFERROR((Data!F41+Data!F34)-(Data!F39-Data!F37),"-")</f>
        <v/>
      </c>
      <c r="G38" s="23">
        <f>IFERROR((Data!G41+Data!G34)-(Data!G39-Data!G37),"-")</f>
        <v/>
      </c>
      <c r="H38" s="23">
        <f>IFERROR((Data!H41+Data!H34)-(Data!H39-Data!H37),"-")</f>
        <v/>
      </c>
      <c r="I38" s="23">
        <f>IFERROR((Data!I41+Data!I34)-(Data!I39-Data!I37),"-")</f>
        <v/>
      </c>
      <c r="J38" s="23">
        <f>IFERROR((Data!J41+Data!J34)-(Data!J39-Data!J37),"-")</f>
        <v/>
      </c>
      <c r="K38" s="23">
        <f>IFERROR((Data!K41+Data!K34)-(Data!K39-Data!K37),"-")</f>
        <v/>
      </c>
      <c r="L38" s="23">
        <f>IFERROR((Data!L41+Data!L34)-(Data!L39-Data!L37),"-")</f>
        <v/>
      </c>
      <c r="N38" s="23">
        <f>IFERROR((Data!N41+Data!N34)-(Data!N39-Data!N37),"-")</f>
        <v/>
      </c>
      <c r="O38" s="23">
        <f>IFERROR((Data!O41+Data!O34)-(Data!O39-Data!O37),"-")</f>
        <v/>
      </c>
      <c r="P38" s="23">
        <f>IFERROR((Data!P41+Data!P34)-(Data!P39-Data!P37),"-")</f>
        <v/>
      </c>
      <c r="Q38" s="23">
        <f>IFERROR((Data!Q41+Data!Q34)-(Data!Q39-Data!Q37),"-")</f>
        <v/>
      </c>
      <c r="R38" s="23">
        <f>IFERROR((Data!R41+Data!R34)-(Data!R39-Data!R37),"-")</f>
        <v/>
      </c>
      <c r="S38" s="23">
        <f>IFERROR((Data!S41+Data!S34)-(Data!S39-Data!S37),"-")</f>
        <v/>
      </c>
      <c r="T38" s="23">
        <f>IFERROR((Data!T41+Data!T34)-(Data!T39-Data!T37),"-")</f>
        <v/>
      </c>
      <c r="U38" s="23">
        <f>IFERROR((Data!U41+Data!U34)-(Data!U39-Data!U37),"-")</f>
        <v/>
      </c>
    </row>
    <row r="39" ht="15" customHeight="1" s="74">
      <c r="A39" s="17" t="inlineStr">
        <is>
          <t>Secondary Structure Ratio</t>
        </is>
      </c>
      <c r="B39" s="93">
        <f>IFERROR((Data!B41+Data!B34)/(Data!B39-Data!B37),"-")</f>
        <v/>
      </c>
      <c r="C39" s="93">
        <f>IFERROR((Data!C41+Data!C34)/(Data!C39-Data!C37),"-")</f>
        <v/>
      </c>
      <c r="D39" s="93">
        <f>IFERROR((Data!D41+Data!D34)/(Data!D39-Data!D37),"-")</f>
        <v/>
      </c>
      <c r="E39" s="93">
        <f>IFERROR((Data!E41+Data!E34)/(Data!E39-Data!E37),"-")</f>
        <v/>
      </c>
      <c r="F39" s="93">
        <f>IFERROR((Data!F41+Data!F34)/(Data!F39-Data!F37),"-")</f>
        <v/>
      </c>
      <c r="G39" s="93">
        <f>IFERROR((Data!G41+Data!G34)/(Data!G39-Data!G37),"-")</f>
        <v/>
      </c>
      <c r="H39" s="93">
        <f>IFERROR((Data!H41+Data!H34)/(Data!H39-Data!H37),"-")</f>
        <v/>
      </c>
      <c r="I39" s="93">
        <f>IFERROR((Data!I41+Data!I34)/(Data!I39-Data!I37),"-")</f>
        <v/>
      </c>
      <c r="J39" s="93">
        <f>IFERROR((Data!J41+Data!J34)/(Data!J39-Data!J37),"-")</f>
        <v/>
      </c>
      <c r="K39" s="93">
        <f>IFERROR((Data!K41+Data!K34)/(Data!K39-Data!K37),"-")</f>
        <v/>
      </c>
      <c r="L39" s="93">
        <f>IFERROR((Data!L41+Data!L34)/(Data!L39-Data!L37),"-")</f>
        <v/>
      </c>
      <c r="N39" s="93">
        <f>IFERROR((Data!N41+Data!N34)/(Data!N39-Data!N37),"-")</f>
        <v/>
      </c>
      <c r="O39" s="93">
        <f>IFERROR((Data!O41+Data!O34)/(Data!O39-Data!O37),"-")</f>
        <v/>
      </c>
      <c r="P39" s="93">
        <f>IFERROR((Data!P41+Data!P34)/(Data!P39-Data!P37),"-")</f>
        <v/>
      </c>
      <c r="Q39" s="93">
        <f>IFERROR((Data!Q41+Data!Q34)/(Data!Q39-Data!Q37),"-")</f>
        <v/>
      </c>
      <c r="R39" s="93">
        <f>IFERROR((Data!R41+Data!R34)/(Data!R39-Data!R37),"-")</f>
        <v/>
      </c>
      <c r="S39" s="93">
        <f>IFERROR((Data!S41+Data!S34)/(Data!S39-Data!S37),"-")</f>
        <v/>
      </c>
      <c r="T39" s="93">
        <f>IFERROR((Data!T41+Data!T34)/(Data!T39-Data!T37),"-")</f>
        <v/>
      </c>
      <c r="U39" s="93">
        <f>IFERROR((Data!U41+Data!U34)/(Data!U39-Data!U37),"-")</f>
        <v/>
      </c>
    </row>
    <row r="40" ht="15" customHeight="1" s="74">
      <c r="A40" s="15" t="inlineStr">
        <is>
          <t>Degree of Asset Rigidity</t>
        </is>
      </c>
      <c r="B40" s="84">
        <f>IFERROR((Data!B39-Data!B37)/Data!B39,"-")</f>
        <v/>
      </c>
      <c r="C40" s="84">
        <f>IFERROR((Data!C39-Data!C37)/Data!C39,"-")</f>
        <v/>
      </c>
      <c r="D40" s="84">
        <f>IFERROR((Data!D39-Data!D37)/Data!D39,"-")</f>
        <v/>
      </c>
      <c r="E40" s="84">
        <f>IFERROR((Data!E39-Data!E37)/Data!E39,"-")</f>
        <v/>
      </c>
      <c r="F40" s="84">
        <f>IFERROR((Data!F39-Data!F37)/Data!F39,"-")</f>
        <v/>
      </c>
      <c r="G40" s="84">
        <f>IFERROR((Data!G39-Data!G37)/Data!G39,"-")</f>
        <v/>
      </c>
      <c r="H40" s="84">
        <f>IFERROR((Data!H39-Data!H37)/Data!H39,"-")</f>
        <v/>
      </c>
      <c r="I40" s="84">
        <f>IFERROR((Data!I39-Data!I37)/Data!I39,"-")</f>
        <v/>
      </c>
      <c r="J40" s="84">
        <f>IFERROR((Data!J39-Data!J37)/Data!J39,"-")</f>
        <v/>
      </c>
      <c r="K40" s="84">
        <f>IFERROR((Data!K39-Data!K37)/Data!K39,"-")</f>
        <v/>
      </c>
      <c r="L40" s="84">
        <f>IFERROR((Data!L39-Data!L37)/Data!L39,"-")</f>
        <v/>
      </c>
      <c r="N40" s="84">
        <f>IFERROR((Data!N39-Data!N37)/Data!N39,"-")</f>
        <v/>
      </c>
      <c r="O40" s="84">
        <f>IFERROR((Data!O39-Data!O37)/Data!O39,"-")</f>
        <v/>
      </c>
      <c r="P40" s="84">
        <f>IFERROR((Data!P39-Data!P37)/Data!P39,"-")</f>
        <v/>
      </c>
      <c r="Q40" s="84">
        <f>IFERROR((Data!Q39-Data!Q37)/Data!Q39,"-")</f>
        <v/>
      </c>
      <c r="R40" s="84">
        <f>IFERROR((Data!R39-Data!R37)/Data!R39,"-")</f>
        <v/>
      </c>
      <c r="S40" s="84">
        <f>IFERROR((Data!S39-Data!S37)/Data!S39,"-")</f>
        <v/>
      </c>
      <c r="T40" s="84">
        <f>IFERROR((Data!T39-Data!T37)/Data!T39,"-")</f>
        <v/>
      </c>
      <c r="U40" s="84">
        <f>IFERROR((Data!U39-Data!U37)/Data!U39,"-")</f>
        <v/>
      </c>
    </row>
    <row r="41" ht="15" customHeight="1" s="74">
      <c r="A41" s="17" t="inlineStr">
        <is>
          <t>Financial Autonomy (Equity)</t>
        </is>
      </c>
      <c r="B41" s="81">
        <f>IFERROR(Data!B41/Data!B39,"-")</f>
        <v/>
      </c>
      <c r="C41" s="81">
        <f>IFERROR(Data!C41/Data!C39,"-")</f>
        <v/>
      </c>
      <c r="D41" s="81">
        <f>IFERROR(Data!D41/Data!D39,"-")</f>
        <v/>
      </c>
      <c r="E41" s="81">
        <f>IFERROR(Data!E41/Data!E39,"-")</f>
        <v/>
      </c>
      <c r="F41" s="81">
        <f>IFERROR(Data!F41/Data!F39,"-")</f>
        <v/>
      </c>
      <c r="G41" s="81">
        <f>IFERROR(Data!G41/Data!G39,"-")</f>
        <v/>
      </c>
      <c r="H41" s="81">
        <f>IFERROR(Data!H41/Data!H39,"-")</f>
        <v/>
      </c>
      <c r="I41" s="81">
        <f>IFERROR(Data!I41/Data!I39,"-")</f>
        <v/>
      </c>
      <c r="J41" s="81">
        <f>IFERROR(Data!J41/Data!J39,"-")</f>
        <v/>
      </c>
      <c r="K41" s="81">
        <f>IFERROR(Data!K41/Data!K39,"-")</f>
        <v/>
      </c>
      <c r="L41" s="81">
        <f>IFERROR(Data!L41/Data!L39,"-")</f>
        <v/>
      </c>
      <c r="N41" s="81">
        <f>IFERROR(Data!N41/Data!N39,"-")</f>
        <v/>
      </c>
      <c r="O41" s="81">
        <f>IFERROR(Data!O41/Data!O39,"-")</f>
        <v/>
      </c>
      <c r="P41" s="81">
        <f>IFERROR(Data!P41/Data!P39,"-")</f>
        <v/>
      </c>
      <c r="Q41" s="81">
        <f>IFERROR(Data!Q41/Data!Q39,"-")</f>
        <v/>
      </c>
      <c r="R41" s="81">
        <f>IFERROR(Data!R41/Data!R39,"-")</f>
        <v/>
      </c>
      <c r="S41" s="81">
        <f>IFERROR(Data!S41/Data!S39,"-")</f>
        <v/>
      </c>
      <c r="T41" s="81">
        <f>IFERROR(Data!T41/Data!T39,"-")</f>
        <v/>
      </c>
      <c r="U41" s="81">
        <f>IFERROR(Data!U41/Data!U39,"-")</f>
        <v/>
      </c>
    </row>
    <row r="42" ht="15" customHeight="1" s="74">
      <c r="A42" s="15" t="inlineStr">
        <is>
          <t>Financial Autonomy (LT Debt)</t>
        </is>
      </c>
      <c r="B42" s="84">
        <f>IFERROR((Data!B40-Data!B38)/Data!B39,"-")</f>
        <v/>
      </c>
      <c r="C42" s="84">
        <f>IFERROR((Data!C40-Data!C38)/Data!C39,"-")</f>
        <v/>
      </c>
      <c r="D42" s="84">
        <f>IFERROR((Data!D40-Data!D38)/Data!D39,"-")</f>
        <v/>
      </c>
      <c r="E42" s="84">
        <f>IFERROR((Data!E40-Data!E38)/Data!E39,"-")</f>
        <v/>
      </c>
      <c r="F42" s="84">
        <f>IFERROR((Data!F40-Data!F38)/Data!F39,"-")</f>
        <v/>
      </c>
      <c r="G42" s="84">
        <f>IFERROR((Data!G40-Data!G38)/Data!G39,"-")</f>
        <v/>
      </c>
      <c r="H42" s="84">
        <f>IFERROR((Data!H40-Data!H38)/Data!H39,"-")</f>
        <v/>
      </c>
      <c r="I42" s="84">
        <f>IFERROR((Data!I40-Data!I38)/Data!I39,"-")</f>
        <v/>
      </c>
      <c r="J42" s="84">
        <f>IFERROR((Data!J40-Data!J38)/Data!J39,"-")</f>
        <v/>
      </c>
      <c r="K42" s="84">
        <f>IFERROR((Data!K40-Data!K38)/Data!K39,"-")</f>
        <v/>
      </c>
      <c r="L42" s="84">
        <f>IFERROR((Data!L40-Data!L38)/Data!L39,"-")</f>
        <v/>
      </c>
      <c r="N42" s="84">
        <f>IFERROR((Data!N40-Data!N38)/Data!N39,"-")</f>
        <v/>
      </c>
      <c r="O42" s="84">
        <f>IFERROR((Data!O40-Data!O38)/Data!O39,"-")</f>
        <v/>
      </c>
      <c r="P42" s="84">
        <f>IFERROR((Data!P40-Data!P38)/Data!P39,"-")</f>
        <v/>
      </c>
      <c r="Q42" s="84">
        <f>IFERROR((Data!Q40-Data!Q38)/Data!Q39,"-")</f>
        <v/>
      </c>
      <c r="R42" s="84">
        <f>IFERROR((Data!R40-Data!R38)/Data!R39,"-")</f>
        <v/>
      </c>
      <c r="S42" s="84">
        <f>IFERROR((Data!S40-Data!S38)/Data!S39,"-")</f>
        <v/>
      </c>
      <c r="T42" s="84">
        <f>IFERROR((Data!T40-Data!T38)/Data!T39,"-")</f>
        <v/>
      </c>
      <c r="U42" s="84">
        <f>IFERROR((Data!U40-Data!U38)/Data!U39,"-")</f>
        <v/>
      </c>
    </row>
    <row r="43" ht="15" customHeight="1" s="74">
      <c r="A43" s="17" t="inlineStr">
        <is>
          <t>Financial Autonomy (ST Debt)</t>
        </is>
      </c>
      <c r="B43" s="81">
        <f>IFERROR(Data!B38/Data!B39,"-")</f>
        <v/>
      </c>
      <c r="C43" s="81">
        <f>IFERROR(Data!C38/Data!C39,"-")</f>
        <v/>
      </c>
      <c r="D43" s="81">
        <f>IFERROR(Data!D38/Data!D39,"-")</f>
        <v/>
      </c>
      <c r="E43" s="81">
        <f>IFERROR(Data!E38/Data!E39,"-")</f>
        <v/>
      </c>
      <c r="F43" s="81">
        <f>IFERROR(Data!F38/Data!F39,"-")</f>
        <v/>
      </c>
      <c r="G43" s="81">
        <f>IFERROR(Data!G38/Data!G39,"-")</f>
        <v/>
      </c>
      <c r="H43" s="81">
        <f>IFERROR(Data!H38/Data!H39,"-")</f>
        <v/>
      </c>
      <c r="I43" s="81">
        <f>IFERROR(Data!I38/Data!I39,"-")</f>
        <v/>
      </c>
      <c r="J43" s="81">
        <f>IFERROR(Data!J38/Data!J39,"-")</f>
        <v/>
      </c>
      <c r="K43" s="81">
        <f>IFERROR(Data!K38/Data!K39,"-")</f>
        <v/>
      </c>
      <c r="L43" s="81">
        <f>IFERROR(Data!L38/Data!L39,"-")</f>
        <v/>
      </c>
      <c r="N43" s="81">
        <f>IFERROR(Data!N38/Data!N39,"-")</f>
        <v/>
      </c>
      <c r="O43" s="81">
        <f>IFERROR(Data!O38/Data!O39,"-")</f>
        <v/>
      </c>
      <c r="P43" s="81">
        <f>IFERROR(Data!P38/Data!P39,"-")</f>
        <v/>
      </c>
      <c r="Q43" s="81">
        <f>IFERROR(Data!Q38/Data!Q39,"-")</f>
        <v/>
      </c>
      <c r="R43" s="81">
        <f>IFERROR(Data!R38/Data!R39,"-")</f>
        <v/>
      </c>
      <c r="S43" s="81">
        <f>IFERROR(Data!S38/Data!S39,"-")</f>
        <v/>
      </c>
      <c r="T43" s="81">
        <f>IFERROR(Data!T38/Data!T39,"-")</f>
        <v/>
      </c>
      <c r="U43" s="81">
        <f>IFERROR(Data!U38/Data!U39,"-")</f>
        <v/>
      </c>
    </row>
    <row r="44" ht="15" customHeight="1" s="74">
      <c r="A44" s="15" t="inlineStr">
        <is>
          <t>Debt Index</t>
        </is>
      </c>
      <c r="B44" s="84">
        <f>IFERROR(Data!B40/Data!B39,"-")</f>
        <v/>
      </c>
      <c r="C44" s="84">
        <f>IFERROR(Data!C40/Data!C39,"-")</f>
        <v/>
      </c>
      <c r="D44" s="84">
        <f>IFERROR(Data!D40/Data!D39,"-")</f>
        <v/>
      </c>
      <c r="E44" s="84">
        <f>IFERROR(Data!E40/Data!E39,"-")</f>
        <v/>
      </c>
      <c r="F44" s="84">
        <f>IFERROR(Data!F40/Data!F39,"-")</f>
        <v/>
      </c>
      <c r="G44" s="84">
        <f>IFERROR(Data!G40/Data!G39,"-")</f>
        <v/>
      </c>
      <c r="H44" s="84">
        <f>IFERROR(Data!H40/Data!H39,"-")</f>
        <v/>
      </c>
      <c r="I44" s="84">
        <f>IFERROR(Data!I40/Data!I39,"-")</f>
        <v/>
      </c>
      <c r="J44" s="84">
        <f>IFERROR(Data!J40/Data!J39,"-")</f>
        <v/>
      </c>
      <c r="K44" s="84">
        <f>IFERROR(Data!K40/Data!K39,"-")</f>
        <v/>
      </c>
      <c r="L44" s="84">
        <f>IFERROR(Data!L40/Data!L39,"-")</f>
        <v/>
      </c>
      <c r="N44" s="84">
        <f>IFERROR(Data!N40/Data!N39,"-")</f>
        <v/>
      </c>
      <c r="O44" s="84">
        <f>IFERROR(Data!O40/Data!O39,"-")</f>
        <v/>
      </c>
      <c r="P44" s="84">
        <f>IFERROR(Data!P40/Data!P39,"-")</f>
        <v/>
      </c>
      <c r="Q44" s="84">
        <f>IFERROR(Data!Q40/Data!Q39,"-")</f>
        <v/>
      </c>
      <c r="R44" s="84">
        <f>IFERROR(Data!R40/Data!R39,"-")</f>
        <v/>
      </c>
      <c r="S44" s="84">
        <f>IFERROR(Data!S40/Data!S39,"-")</f>
        <v/>
      </c>
      <c r="T44" s="84">
        <f>IFERROR(Data!T40/Data!T39,"-")</f>
        <v/>
      </c>
      <c r="U44" s="84">
        <f>IFERROR(Data!U40/Data!U39,"-")</f>
        <v/>
      </c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N45" s="2" t="n"/>
      <c r="O45" s="2" t="n"/>
      <c r="P45" s="2" t="n"/>
      <c r="Q45" s="2" t="n"/>
      <c r="R45" s="2" t="n"/>
      <c r="S45" s="2" t="n"/>
      <c r="T45" s="2" t="n"/>
      <c r="U45" s="2" t="n"/>
    </row>
    <row r="46" ht="15" customHeight="1" s="74">
      <c r="A46" s="30" t="inlineStr">
        <is>
          <t>LIQUIDITY RATIOS</t>
        </is>
      </c>
    </row>
    <row r="47" ht="15" customHeight="1" s="74">
      <c r="A47" s="14" t="inlineStr">
        <is>
          <t>Period</t>
        </is>
      </c>
      <c r="B47" s="14">
        <f>Data!B13</f>
        <v/>
      </c>
      <c r="C47" s="14">
        <f>Data!C13</f>
        <v/>
      </c>
      <c r="D47" s="14">
        <f>Data!D13</f>
        <v/>
      </c>
      <c r="E47" s="14">
        <f>Data!E13</f>
        <v/>
      </c>
      <c r="F47" s="14">
        <f>Data!F13</f>
        <v/>
      </c>
      <c r="G47" s="14">
        <f>Data!G13</f>
        <v/>
      </c>
      <c r="H47" s="14">
        <f>Data!H13</f>
        <v/>
      </c>
      <c r="I47" s="14">
        <f>Data!I13</f>
        <v/>
      </c>
      <c r="J47" s="14">
        <f>Data!J13</f>
        <v/>
      </c>
      <c r="K47" s="14">
        <f>Data!K13</f>
        <v/>
      </c>
      <c r="L47" s="14">
        <f>Data!L13</f>
        <v/>
      </c>
      <c r="N47" s="14">
        <f>Data!N13</f>
        <v/>
      </c>
      <c r="O47" s="14">
        <f>Data!O13</f>
        <v/>
      </c>
      <c r="P47" s="14">
        <f>Data!P13</f>
        <v/>
      </c>
      <c r="Q47" s="14">
        <f>Data!Q13</f>
        <v/>
      </c>
      <c r="R47" s="14">
        <f>Data!R13</f>
        <v/>
      </c>
      <c r="S47" s="14">
        <f>Data!S13</f>
        <v/>
      </c>
      <c r="T47" s="14">
        <f>Data!T13</f>
        <v/>
      </c>
      <c r="U47" s="14">
        <f>Data!U13</f>
        <v/>
      </c>
    </row>
    <row r="48" ht="15" customHeight="1" s="74">
      <c r="A48" s="15" t="inlineStr">
        <is>
          <t>Working Capital ($M)</t>
        </is>
      </c>
      <c r="B48" s="23">
        <f>IFERROR(Data!B37-Data!B38,"-")</f>
        <v/>
      </c>
      <c r="C48" s="23">
        <f>IFERROR(Data!C37-Data!C38,"-")</f>
        <v/>
      </c>
      <c r="D48" s="23">
        <f>IFERROR(Data!D37-Data!D38,"-")</f>
        <v/>
      </c>
      <c r="E48" s="23">
        <f>IFERROR(Data!E37-Data!E38,"-")</f>
        <v/>
      </c>
      <c r="F48" s="23">
        <f>IFERROR(Data!F37-Data!F38,"-")</f>
        <v/>
      </c>
      <c r="G48" s="23">
        <f>IFERROR(Data!G37-Data!G38,"-")</f>
        <v/>
      </c>
      <c r="H48" s="23">
        <f>IFERROR(Data!H37-Data!H38,"-")</f>
        <v/>
      </c>
      <c r="I48" s="23">
        <f>IFERROR(Data!I37-Data!I38,"-")</f>
        <v/>
      </c>
      <c r="J48" s="23">
        <f>IFERROR(Data!J37-Data!J38,"-")</f>
        <v/>
      </c>
      <c r="K48" s="23">
        <f>IFERROR(Data!K37-Data!K38,"-")</f>
        <v/>
      </c>
      <c r="L48" s="23">
        <f>IFERROR(Data!L37-Data!L38,"-")</f>
        <v/>
      </c>
      <c r="N48" s="23">
        <f>IFERROR(Data!N37-Data!N38,"-")</f>
        <v/>
      </c>
      <c r="O48" s="23">
        <f>IFERROR(Data!O37-Data!O38,"-")</f>
        <v/>
      </c>
      <c r="P48" s="23">
        <f>IFERROR(Data!P37-Data!P38,"-")</f>
        <v/>
      </c>
      <c r="Q48" s="23">
        <f>IFERROR(Data!Q37-Data!Q38,"-")</f>
        <v/>
      </c>
      <c r="R48" s="23">
        <f>IFERROR(Data!R37-Data!R38,"-")</f>
        <v/>
      </c>
      <c r="S48" s="23">
        <f>IFERROR(Data!S37-Data!S38,"-")</f>
        <v/>
      </c>
      <c r="T48" s="23">
        <f>IFERROR(Data!T37-Data!T38,"-")</f>
        <v/>
      </c>
      <c r="U48" s="23">
        <f>IFERROR(Data!U37-Data!U38,"-")</f>
        <v/>
      </c>
    </row>
    <row r="49" ht="15" customHeight="1" s="74">
      <c r="A49" s="17" t="inlineStr">
        <is>
          <t>Quick Ratio</t>
        </is>
      </c>
      <c r="B49" s="93">
        <f>IFERROR((Data!B37-Data!B47)/Data!B38,"-")</f>
        <v/>
      </c>
      <c r="C49" s="93">
        <f>IFERROR((Data!C37-Data!C47)/Data!C38,"-")</f>
        <v/>
      </c>
      <c r="D49" s="93">
        <f>IFERROR((Data!D37-Data!D47)/Data!D38,"-")</f>
        <v/>
      </c>
      <c r="E49" s="93">
        <f>IFERROR((Data!E37-Data!E47)/Data!E38,"-")</f>
        <v/>
      </c>
      <c r="F49" s="93">
        <f>IFERROR((Data!F37-Data!F47)/Data!F38,"-")</f>
        <v/>
      </c>
      <c r="G49" s="93">
        <f>IFERROR((Data!G37-Data!G47)/Data!G38,"-")</f>
        <v/>
      </c>
      <c r="H49" s="93">
        <f>IFERROR((Data!H37-Data!H47)/Data!H38,"-")</f>
        <v/>
      </c>
      <c r="I49" s="93">
        <f>IFERROR((Data!I37-Data!I47)/Data!I38,"-")</f>
        <v/>
      </c>
      <c r="J49" s="93">
        <f>IFERROR((Data!J37-Data!J47)/Data!J38,"-")</f>
        <v/>
      </c>
      <c r="K49" s="93">
        <f>IFERROR((Data!K37-Data!K47)/Data!K38,"-")</f>
        <v/>
      </c>
      <c r="L49" s="93">
        <f>IFERROR((Data!L37-Data!L47)/Data!L38,"-")</f>
        <v/>
      </c>
      <c r="N49" s="93">
        <f>IFERROR((Data!N37-Data!N47)/Data!N38,"-")</f>
        <v/>
      </c>
      <c r="O49" s="93">
        <f>IFERROR((Data!O37-Data!O47)/Data!O38,"-")</f>
        <v/>
      </c>
      <c r="P49" s="93">
        <f>IFERROR((Data!P37-Data!P47)/Data!P38,"-")</f>
        <v/>
      </c>
      <c r="Q49" s="93">
        <f>IFERROR((Data!Q37-Data!Q47)/Data!Q38,"-")</f>
        <v/>
      </c>
      <c r="R49" s="93">
        <f>IFERROR((Data!R37-Data!R47)/Data!R38,"-")</f>
        <v/>
      </c>
      <c r="S49" s="93">
        <f>IFERROR((Data!S37-Data!S47)/Data!S38,"-")</f>
        <v/>
      </c>
      <c r="T49" s="93">
        <f>IFERROR((Data!T37-Data!T47)/Data!T38,"-")</f>
        <v/>
      </c>
      <c r="U49" s="93">
        <f>IFERROR((Data!U37-Data!U47)/Data!U38,"-")</f>
        <v/>
      </c>
    </row>
    <row r="50" ht="15" customHeight="1" s="74">
      <c r="A50" s="15" t="inlineStr">
        <is>
          <t>Quick Margin ($M)</t>
        </is>
      </c>
      <c r="B50" s="23">
        <f>IFERROR((Data!B37-Data!B47)-Data!B38,"-")</f>
        <v/>
      </c>
      <c r="C50" s="23">
        <f>IFERROR((Data!C37-Data!C47)-Data!C38,"-")</f>
        <v/>
      </c>
      <c r="D50" s="23">
        <f>IFERROR((Data!D37-Data!D47)-Data!D38,"-")</f>
        <v/>
      </c>
      <c r="E50" s="23">
        <f>IFERROR((Data!E37-Data!E47)-Data!E38,"-")</f>
        <v/>
      </c>
      <c r="F50" s="23">
        <f>IFERROR((Data!F37-Data!F47)-Data!F38,"-")</f>
        <v/>
      </c>
      <c r="G50" s="23">
        <f>IFERROR((Data!G37-Data!G47)-Data!G38,"-")</f>
        <v/>
      </c>
      <c r="H50" s="23">
        <f>IFERROR((Data!H37-Data!H47)-Data!H38,"-")</f>
        <v/>
      </c>
      <c r="I50" s="23">
        <f>IFERROR((Data!I37-Data!I47)-Data!I38,"-")</f>
        <v/>
      </c>
      <c r="J50" s="23">
        <f>IFERROR((Data!J37-Data!J47)-Data!J38,"-")</f>
        <v/>
      </c>
      <c r="K50" s="23">
        <f>IFERROR((Data!K37-Data!K47)-Data!K38,"-")</f>
        <v/>
      </c>
      <c r="L50" s="23">
        <f>IFERROR((Data!L37-Data!L47)-Data!L38,"-")</f>
        <v/>
      </c>
      <c r="N50" s="23">
        <f>IFERROR((Data!N37-Data!N47)-Data!N38,"-")</f>
        <v/>
      </c>
      <c r="O50" s="23">
        <f>IFERROR((Data!O37-Data!O47)-Data!O38,"-")</f>
        <v/>
      </c>
      <c r="P50" s="23">
        <f>IFERROR((Data!P37-Data!P47)-Data!P38,"-")</f>
        <v/>
      </c>
      <c r="Q50" s="23">
        <f>IFERROR((Data!Q37-Data!Q47)-Data!Q38,"-")</f>
        <v/>
      </c>
      <c r="R50" s="23">
        <f>IFERROR((Data!R37-Data!R47)-Data!R38,"-")</f>
        <v/>
      </c>
      <c r="S50" s="23">
        <f>IFERROR((Data!S37-Data!S47)-Data!S38,"-")</f>
        <v/>
      </c>
      <c r="T50" s="23">
        <f>IFERROR((Data!T37-Data!T47)-Data!T38,"-")</f>
        <v/>
      </c>
      <c r="U50" s="23">
        <f>IFERROR((Data!U37-Data!U47)-Data!U38,"-")</f>
        <v/>
      </c>
    </row>
    <row r="51" ht="15" customHeight="1" s="74">
      <c r="A51" s="17" t="inlineStr">
        <is>
          <t>Cash Ratio</t>
        </is>
      </c>
      <c r="B51" s="93">
        <f>IFERROR(Data!B32/Data!B38,"-")</f>
        <v/>
      </c>
      <c r="C51" s="93">
        <f>IFERROR(Data!C32/Data!C38,"-")</f>
        <v/>
      </c>
      <c r="D51" s="93">
        <f>IFERROR(Data!D32/Data!D38,"-")</f>
        <v/>
      </c>
      <c r="E51" s="93">
        <f>IFERROR(Data!E32/Data!E38,"-")</f>
        <v/>
      </c>
      <c r="F51" s="93">
        <f>IFERROR(Data!F32/Data!F38,"-")</f>
        <v/>
      </c>
      <c r="G51" s="93">
        <f>IFERROR(Data!G32/Data!G38,"-")</f>
        <v/>
      </c>
      <c r="H51" s="93">
        <f>IFERROR(Data!H32/Data!H38,"-")</f>
        <v/>
      </c>
      <c r="I51" s="93">
        <f>IFERROR(Data!I32/Data!I38,"-")</f>
        <v/>
      </c>
      <c r="J51" s="93">
        <f>IFERROR(Data!J32/Data!J38,"-")</f>
        <v/>
      </c>
      <c r="K51" s="93">
        <f>IFERROR(Data!K32/Data!K38,"-")</f>
        <v/>
      </c>
      <c r="L51" s="93">
        <f>IFERROR(Data!L32/Data!L38,"-")</f>
        <v/>
      </c>
      <c r="N51" s="93">
        <f>IFERROR(Data!N32/Data!N38,"-")</f>
        <v/>
      </c>
      <c r="O51" s="93">
        <f>IFERROR(Data!O32/Data!O38,"-")</f>
        <v/>
      </c>
      <c r="P51" s="93">
        <f>IFERROR(Data!P32/Data!P38,"-")</f>
        <v/>
      </c>
      <c r="Q51" s="93">
        <f>IFERROR(Data!Q32/Data!Q38,"-")</f>
        <v/>
      </c>
      <c r="R51" s="93">
        <f>IFERROR(Data!R32/Data!R38,"-")</f>
        <v/>
      </c>
      <c r="S51" s="93">
        <f>IFERROR(Data!S32/Data!S38,"-")</f>
        <v/>
      </c>
      <c r="T51" s="93">
        <f>IFERROR(Data!T32/Data!T38,"-")</f>
        <v/>
      </c>
      <c r="U51" s="93">
        <f>IFERROR(Data!U32/Data!U38,"-")</f>
        <v/>
      </c>
    </row>
    <row r="52" ht="15" customHeight="1" s="74">
      <c r="A52" s="15" t="inlineStr">
        <is>
          <t>Cash Margin ($M)</t>
        </is>
      </c>
      <c r="B52" s="23">
        <f>IFERROR(Data!B32-Data!B38,"-")</f>
        <v/>
      </c>
      <c r="C52" s="23">
        <f>IFERROR(Data!C32-Data!C38,"-")</f>
        <v/>
      </c>
      <c r="D52" s="23">
        <f>IFERROR(Data!D32-Data!D38,"-")</f>
        <v/>
      </c>
      <c r="E52" s="23">
        <f>IFERROR(Data!E32-Data!E38,"-")</f>
        <v/>
      </c>
      <c r="F52" s="23">
        <f>IFERROR(Data!F32-Data!F38,"-")</f>
        <v/>
      </c>
      <c r="G52" s="23">
        <f>IFERROR(Data!G32-Data!G38,"-")</f>
        <v/>
      </c>
      <c r="H52" s="23">
        <f>IFERROR(Data!H32-Data!H38,"-")</f>
        <v/>
      </c>
      <c r="I52" s="23">
        <f>IFERROR(Data!I32-Data!I38,"-")</f>
        <v/>
      </c>
      <c r="J52" s="23">
        <f>IFERROR(Data!J32-Data!J38,"-")</f>
        <v/>
      </c>
      <c r="K52" s="23">
        <f>IFERROR(Data!K32-Data!K38,"-")</f>
        <v/>
      </c>
      <c r="L52" s="23">
        <f>IFERROR(Data!L32-Data!L38,"-")</f>
        <v/>
      </c>
      <c r="N52" s="23">
        <f>IFERROR(Data!N32-Data!N38,"-")</f>
        <v/>
      </c>
      <c r="O52" s="23">
        <f>IFERROR(Data!O32-Data!O38,"-")</f>
        <v/>
      </c>
      <c r="P52" s="23">
        <f>IFERROR(Data!P32-Data!P38,"-")</f>
        <v/>
      </c>
      <c r="Q52" s="23">
        <f>IFERROR(Data!Q32-Data!Q38,"-")</f>
        <v/>
      </c>
      <c r="R52" s="23">
        <f>IFERROR(Data!R32-Data!R38,"-")</f>
        <v/>
      </c>
      <c r="S52" s="23">
        <f>IFERROR(Data!S32-Data!S38,"-")</f>
        <v/>
      </c>
      <c r="T52" s="23">
        <f>IFERROR(Data!T32-Data!T38,"-")</f>
        <v/>
      </c>
      <c r="U52" s="23">
        <f>IFERROR(Data!U32-Data!U38,"-")</f>
        <v/>
      </c>
    </row>
    <row r="53" ht="15" customHeight="1" s="74">
      <c r="A53" s="17" t="inlineStr">
        <is>
          <t>Immediate Liquidity Index</t>
        </is>
      </c>
      <c r="B53" s="81">
        <f>IFERROR(Data!B32/Data!B39,"-")</f>
        <v/>
      </c>
      <c r="C53" s="81">
        <f>IFERROR(Data!C32/Data!C39,"-")</f>
        <v/>
      </c>
      <c r="D53" s="81">
        <f>IFERROR(Data!D32/Data!D39,"-")</f>
        <v/>
      </c>
      <c r="E53" s="81">
        <f>IFERROR(Data!E32/Data!E39,"-")</f>
        <v/>
      </c>
      <c r="F53" s="81">
        <f>IFERROR(Data!F32/Data!F39,"-")</f>
        <v/>
      </c>
      <c r="G53" s="81">
        <f>IFERROR(Data!G32/Data!G39,"-")</f>
        <v/>
      </c>
      <c r="H53" s="81">
        <f>IFERROR(Data!H32/Data!H39,"-")</f>
        <v/>
      </c>
      <c r="I53" s="81">
        <f>IFERROR(Data!I32/Data!I39,"-")</f>
        <v/>
      </c>
      <c r="J53" s="81">
        <f>IFERROR(Data!J32/Data!J39,"-")</f>
        <v/>
      </c>
      <c r="K53" s="81">
        <f>IFERROR(Data!K32/Data!K39,"-")</f>
        <v/>
      </c>
      <c r="L53" s="81">
        <f>IFERROR(Data!L32/Data!L39,"-")</f>
        <v/>
      </c>
      <c r="N53" s="81">
        <f>IFERROR(Data!N32/Data!N39,"-")</f>
        <v/>
      </c>
      <c r="O53" s="81">
        <f>IFERROR(Data!O32/Data!O39,"-")</f>
        <v/>
      </c>
      <c r="P53" s="81">
        <f>IFERROR(Data!P32/Data!P39,"-")</f>
        <v/>
      </c>
      <c r="Q53" s="81">
        <f>IFERROR(Data!Q32/Data!Q39,"-")</f>
        <v/>
      </c>
      <c r="R53" s="81">
        <f>IFERROR(Data!R32/Data!R39,"-")</f>
        <v/>
      </c>
      <c r="S53" s="81">
        <f>IFERROR(Data!S32/Data!S39,"-")</f>
        <v/>
      </c>
      <c r="T53" s="81">
        <f>IFERROR(Data!T32/Data!T39,"-")</f>
        <v/>
      </c>
      <c r="U53" s="81">
        <f>IFERROR(Data!U32/Data!U39,"-")</f>
        <v/>
      </c>
    </row>
    <row r="54" ht="15" customHeight="1" s="74">
      <c r="A54" s="15" t="inlineStr">
        <is>
          <t>Inventory Index</t>
        </is>
      </c>
      <c r="B54" s="84">
        <f>IFERROR(Data!B47/Data!B39,"-")</f>
        <v/>
      </c>
      <c r="C54" s="84">
        <f>IFERROR(Data!C47/Data!C39,"-")</f>
        <v/>
      </c>
      <c r="D54" s="84">
        <f>IFERROR(Data!D47/Data!D39,"-")</f>
        <v/>
      </c>
      <c r="E54" s="84">
        <f>IFERROR(Data!E47/Data!E39,"-")</f>
        <v/>
      </c>
      <c r="F54" s="84">
        <f>IFERROR(Data!F47/Data!F39,"-")</f>
        <v/>
      </c>
      <c r="G54" s="84">
        <f>IFERROR(Data!G47/Data!G39,"-")</f>
        <v/>
      </c>
      <c r="H54" s="84">
        <f>IFERROR(Data!H47/Data!H39,"-")</f>
        <v/>
      </c>
      <c r="I54" s="84">
        <f>IFERROR(Data!I47/Data!I39,"-")</f>
        <v/>
      </c>
      <c r="J54" s="84">
        <f>IFERROR(Data!J47/Data!J39,"-")</f>
        <v/>
      </c>
      <c r="K54" s="84">
        <f>IFERROR(Data!K47/Data!K39,"-")</f>
        <v/>
      </c>
      <c r="L54" s="84">
        <f>IFERROR(Data!L47/Data!L39,"-")</f>
        <v/>
      </c>
      <c r="N54" s="84">
        <f>IFERROR(Data!N47/Data!N39,"-")</f>
        <v/>
      </c>
      <c r="O54" s="84">
        <f>IFERROR(Data!O47/Data!O39,"-")</f>
        <v/>
      </c>
      <c r="P54" s="84">
        <f>IFERROR(Data!P47/Data!P39,"-")</f>
        <v/>
      </c>
      <c r="Q54" s="84">
        <f>IFERROR(Data!Q47/Data!Q39,"-")</f>
        <v/>
      </c>
      <c r="R54" s="84">
        <f>IFERROR(Data!R47/Data!R39,"-")</f>
        <v/>
      </c>
      <c r="S54" s="84">
        <f>IFERROR(Data!S47/Data!S39,"-")</f>
        <v/>
      </c>
      <c r="T54" s="84">
        <f>IFERROR(Data!T47/Data!T39,"-")</f>
        <v/>
      </c>
      <c r="U54" s="84">
        <f>IFERROR(Data!U47/Data!U39,"-")</f>
        <v/>
      </c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N55" s="2" t="n"/>
      <c r="O55" s="2" t="n"/>
      <c r="P55" s="2" t="n"/>
      <c r="Q55" s="2" t="n"/>
      <c r="R55" s="2" t="n"/>
      <c r="S55" s="2" t="n"/>
      <c r="T55" s="2" t="n"/>
      <c r="U55" s="2" t="n"/>
    </row>
    <row r="56" ht="15" customHeight="1" s="74">
      <c r="A56" s="30" t="inlineStr">
        <is>
          <t>EFFICIENCY &amp; ACTIVITY RATIOS</t>
        </is>
      </c>
    </row>
    <row r="57" ht="15" customHeight="1" s="74">
      <c r="A57" s="14" t="inlineStr">
        <is>
          <t>Period</t>
        </is>
      </c>
      <c r="B57" s="14">
        <f>Data!B13</f>
        <v/>
      </c>
      <c r="C57" s="14">
        <f>Data!C13</f>
        <v/>
      </c>
      <c r="D57" s="14">
        <f>Data!D13</f>
        <v/>
      </c>
      <c r="E57" s="14">
        <f>Data!E13</f>
        <v/>
      </c>
      <c r="F57" s="14">
        <f>Data!F13</f>
        <v/>
      </c>
      <c r="G57" s="14">
        <f>Data!G13</f>
        <v/>
      </c>
      <c r="H57" s="14">
        <f>Data!H13</f>
        <v/>
      </c>
      <c r="I57" s="14">
        <f>Data!I13</f>
        <v/>
      </c>
      <c r="J57" s="14">
        <f>Data!J13</f>
        <v/>
      </c>
      <c r="K57" s="14">
        <f>Data!K13</f>
        <v/>
      </c>
      <c r="L57" s="14">
        <f>Data!L13</f>
        <v/>
      </c>
      <c r="N57" s="14">
        <f>Data!N13</f>
        <v/>
      </c>
      <c r="O57" s="14">
        <f>Data!O13</f>
        <v/>
      </c>
      <c r="P57" s="14">
        <f>Data!P13</f>
        <v/>
      </c>
      <c r="Q57" s="14">
        <f>Data!Q13</f>
        <v/>
      </c>
      <c r="R57" s="14">
        <f>Data!R13</f>
        <v/>
      </c>
      <c r="S57" s="14">
        <f>Data!S13</f>
        <v/>
      </c>
      <c r="T57" s="14">
        <f>Data!T13</f>
        <v/>
      </c>
      <c r="U57" s="14">
        <f>Data!U13</f>
        <v/>
      </c>
    </row>
    <row r="58" ht="15" customHeight="1" s="74">
      <c r="A58" s="15" t="inlineStr">
        <is>
          <t>Inventory Turnover</t>
        </is>
      </c>
      <c r="B58" s="83">
        <f>IFERROR(IF(COLUMN(B1)=2,Data!B15/Data!B47,Data!B15/((Data!B47+Data!B47)/2)),"-")</f>
        <v/>
      </c>
      <c r="C58" s="83">
        <f>IFERROR(IF(COLUMN(C1)=2,Data!C15/Data!C47,Data!C15/((Data!C47+Data!B47)/2)),"-")</f>
        <v/>
      </c>
      <c r="D58" s="83">
        <f>IFERROR(IF(COLUMN(D1)=2,Data!D15/Data!D47,Data!D15/((Data!D47+Data!C47)/2)),"-")</f>
        <v/>
      </c>
      <c r="E58" s="83">
        <f>IFERROR(IF(COLUMN(E1)=2,Data!E15/Data!E47,Data!E15/((Data!E47+Data!D47)/2)),"-")</f>
        <v/>
      </c>
      <c r="F58" s="83">
        <f>IFERROR(IF(COLUMN(F1)=2,Data!F15/Data!F47,Data!F15/((Data!F47+Data!E47)/2)),"-")</f>
        <v/>
      </c>
      <c r="G58" s="83">
        <f>IFERROR(IF(COLUMN(G1)=2,Data!G15/Data!G47,Data!G15/((Data!G47+Data!F47)/2)),"-")</f>
        <v/>
      </c>
      <c r="H58" s="83">
        <f>IFERROR(IF(COLUMN(H1)=2,Data!H15/Data!H47,Data!H15/((Data!H47+Data!G47)/2)),"-")</f>
        <v/>
      </c>
      <c r="I58" s="83">
        <f>IFERROR(IF(COLUMN(I1)=2,Data!I15/Data!I47,Data!I15/((Data!I47+Data!H47)/2)),"-")</f>
        <v/>
      </c>
      <c r="J58" s="83">
        <f>IFERROR(IF(COLUMN(J1)=2,Data!J15/Data!J47,Data!J15/((Data!J47+Data!I47)/2)),"-")</f>
        <v/>
      </c>
      <c r="K58" s="83">
        <f>IFERROR(IF(COLUMN(K1)=2,Data!K15/Data!K47,Data!K15/((Data!K47+Data!J47)/2)),"-")</f>
        <v/>
      </c>
      <c r="L58" s="83">
        <f>IFERROR(IF(COLUMN(L1)=2,Data!L15/Data!L47,Data!L15/((Data!L47+Data!K47)/2)),"-")</f>
        <v/>
      </c>
      <c r="N58" s="83">
        <f>IFERROR(Data!N15/Data!N47,"-")</f>
        <v/>
      </c>
      <c r="O58" s="83">
        <f>IFERROR(IF(COLUMN(N1)=2,Data!O15/Data!O47,Data!O15/((Data!O47+Data!N47)/2)),"-")</f>
        <v/>
      </c>
      <c r="P58" s="83">
        <f>IFERROR(IF(COLUMN(O1)=2,Data!P15/Data!P47,Data!P15/((Data!P47+Data!O47)/2)),"-")</f>
        <v/>
      </c>
      <c r="Q58" s="83">
        <f>IFERROR(IF(COLUMN(P1)=2,Data!Q15/Data!Q47,Data!Q15/((Data!Q47+Data!P47)/2)),"-")</f>
        <v/>
      </c>
      <c r="R58" s="83">
        <f>IFERROR(IF(COLUMN(Q1)=2,Data!R15/Data!R47,Data!R15/((Data!R47+Data!Q47)/2)),"-")</f>
        <v/>
      </c>
      <c r="S58" s="83">
        <f>IFERROR(IF(COLUMN(R1)=2,Data!S15/Data!S47,Data!S15/((Data!S47+Data!R47)/2)),"-")</f>
        <v/>
      </c>
      <c r="T58" s="83">
        <f>IFERROR(IF(COLUMN(S1)=2,Data!T15/Data!T47,Data!T15/((Data!T47+Data!S47)/2)),"-")</f>
        <v/>
      </c>
      <c r="U58" s="83">
        <f>IFERROR(IF(COLUMN(T1)=2,Data!U15/Data!U47,Data!U15/((Data!U47+Data!T47)/2)),"-")</f>
        <v/>
      </c>
    </row>
    <row r="59" ht="15" customHeight="1" s="74">
      <c r="A59" s="17" t="inlineStr">
        <is>
          <t>Days Inventory Outstanding</t>
        </is>
      </c>
      <c r="B59" s="93">
        <f>IFERROR(IF(COLUMN(B1)=2,Data!B47/Data!B15*IF(COLUMN(B1)&gt;=13,90,365),((Data!B47+Data!B47)/2)/Data!B15*IF(COLUMN(B1)&gt;=13,90,365)),"-")</f>
        <v/>
      </c>
      <c r="C59" s="93">
        <f>IFERROR(IF(COLUMN(C1)=2,Data!C47/Data!C15*IF(COLUMN(C1)&gt;=13,90,365),((Data!C47+Data!B47)/2)/Data!C15*IF(COLUMN(C1)&gt;=13,90,365)),"-")</f>
        <v/>
      </c>
      <c r="D59" s="93">
        <f>IFERROR(IF(COLUMN(D1)=2,Data!D47/Data!D15*IF(COLUMN(D1)&gt;=13,90,365),((Data!D47+Data!C47)/2)/Data!D15*IF(COLUMN(D1)&gt;=13,90,365)),"-")</f>
        <v/>
      </c>
      <c r="E59" s="93">
        <f>IFERROR(IF(COLUMN(E1)=2,Data!E47/Data!E15*IF(COLUMN(E1)&gt;=13,90,365),((Data!E47+Data!D47)/2)/Data!E15*IF(COLUMN(E1)&gt;=13,90,365)),"-")</f>
        <v/>
      </c>
      <c r="F59" s="93">
        <f>IFERROR(IF(COLUMN(F1)=2,Data!F47/Data!F15*IF(COLUMN(F1)&gt;=13,90,365),((Data!F47+Data!E47)/2)/Data!F15*IF(COLUMN(F1)&gt;=13,90,365)),"-")</f>
        <v/>
      </c>
      <c r="G59" s="93">
        <f>IFERROR(IF(COLUMN(G1)=2,Data!G47/Data!G15*IF(COLUMN(G1)&gt;=13,90,365),((Data!G47+Data!F47)/2)/Data!G15*IF(COLUMN(G1)&gt;=13,90,365)),"-")</f>
        <v/>
      </c>
      <c r="H59" s="93">
        <f>IFERROR(IF(COLUMN(H1)=2,Data!H47/Data!H15*IF(COLUMN(H1)&gt;=13,90,365),((Data!H47+Data!G47)/2)/Data!H15*IF(COLUMN(H1)&gt;=13,90,365)),"-")</f>
        <v/>
      </c>
      <c r="I59" s="93">
        <f>IFERROR(IF(COLUMN(I1)=2,Data!I47/Data!I15*IF(COLUMN(I1)&gt;=13,90,365),((Data!I47+Data!H47)/2)/Data!I15*IF(COLUMN(I1)&gt;=13,90,365)),"-")</f>
        <v/>
      </c>
      <c r="J59" s="93">
        <f>IFERROR(IF(COLUMN(J1)=2,Data!J47/Data!J15*IF(COLUMN(J1)&gt;=13,90,365),((Data!J47+Data!I47)/2)/Data!J15*IF(COLUMN(J1)&gt;=13,90,365)),"-")</f>
        <v/>
      </c>
      <c r="K59" s="93">
        <f>IFERROR(IF(COLUMN(K1)=2,Data!K47/Data!K15*IF(COLUMN(K1)&gt;=13,90,365),((Data!K47+Data!J47)/2)/Data!K15*IF(COLUMN(K1)&gt;=13,90,365)),"-")</f>
        <v/>
      </c>
      <c r="L59" s="93">
        <f>IFERROR(IF(COLUMN(L1)=2,Data!L47/Data!L15*IF(COLUMN(L1)&gt;=13,90,365),((Data!L47+Data!K47)/2)/Data!L15*IF(COLUMN(L1)&gt;=13,90,365)),"-")</f>
        <v/>
      </c>
      <c r="N59" s="93">
        <f>IFERROR(Data!N47/Data!N15*90,"-")</f>
        <v/>
      </c>
      <c r="O59" s="93">
        <f>IFERROR(IF(COLUMN(N1)=2,Data!O47/Data!O15*IF(COLUMN(N1)&gt;=13,90,365),((Data!O47+Data!N47)/2)/Data!O15*IF(COLUMN(N1)&gt;=13,90,365)),"-")</f>
        <v/>
      </c>
      <c r="P59" s="93">
        <f>IFERROR(IF(COLUMN(O1)=2,Data!P47/Data!P15*IF(COLUMN(O1)&gt;=13,90,365),((Data!P47+Data!O47)/2)/Data!P15*IF(COLUMN(O1)&gt;=13,90,365)),"-")</f>
        <v/>
      </c>
      <c r="Q59" s="93">
        <f>IFERROR(IF(COLUMN(P1)=2,Data!Q47/Data!Q15*IF(COLUMN(P1)&gt;=13,90,365),((Data!Q47+Data!P47)/2)/Data!Q15*IF(COLUMN(P1)&gt;=13,90,365)),"-")</f>
        <v/>
      </c>
      <c r="R59" s="93">
        <f>IFERROR(IF(COLUMN(Q1)=2,Data!R47/Data!R15*IF(COLUMN(Q1)&gt;=13,90,365),((Data!R47+Data!Q47)/2)/Data!R15*IF(COLUMN(Q1)&gt;=13,90,365)),"-")</f>
        <v/>
      </c>
      <c r="S59" s="93">
        <f>IFERROR(IF(COLUMN(R1)=2,Data!S47/Data!S15*IF(COLUMN(R1)&gt;=13,90,365),((Data!S47+Data!R47)/2)/Data!S15*IF(COLUMN(R1)&gt;=13,90,365)),"-")</f>
        <v/>
      </c>
      <c r="T59" s="93">
        <f>IFERROR(IF(COLUMN(S1)=2,Data!T47/Data!T15*IF(COLUMN(S1)&gt;=13,90,365),((Data!T47+Data!S47)/2)/Data!T15*IF(COLUMN(S1)&gt;=13,90,365)),"-")</f>
        <v/>
      </c>
      <c r="U59" s="93">
        <f>IFERROR(IF(COLUMN(T1)=2,Data!U47/Data!U15*IF(COLUMN(T1)&gt;=13,90,365),((Data!U47+Data!T47)/2)/Data!U15*IF(COLUMN(T1)&gt;=13,90,365)),"-")</f>
        <v/>
      </c>
    </row>
    <row r="60" ht="15" customHeight="1" s="74">
      <c r="A60" s="15" t="inlineStr">
        <is>
          <t>Receivables Turnover</t>
        </is>
      </c>
      <c r="B60" s="83">
        <f>IFERROR(IF(COLUMN(B1)=2,Data!B14/Data!B45,Data!B14/((Data!B45+Data!B45)/2)),"-")</f>
        <v/>
      </c>
      <c r="C60" s="83">
        <f>IFERROR(IF(COLUMN(C1)=2,Data!C14/Data!C45,Data!C14/((Data!C45+Data!B45)/2)),"-")</f>
        <v/>
      </c>
      <c r="D60" s="83">
        <f>IFERROR(IF(COLUMN(D1)=2,Data!D14/Data!D45,Data!D14/((Data!D45+Data!C45)/2)),"-")</f>
        <v/>
      </c>
      <c r="E60" s="83">
        <f>IFERROR(IF(COLUMN(E1)=2,Data!E14/Data!E45,Data!E14/((Data!E45+Data!D45)/2)),"-")</f>
        <v/>
      </c>
      <c r="F60" s="83">
        <f>IFERROR(IF(COLUMN(F1)=2,Data!F14/Data!F45,Data!F14/((Data!F45+Data!E45)/2)),"-")</f>
        <v/>
      </c>
      <c r="G60" s="83">
        <f>IFERROR(IF(COLUMN(G1)=2,Data!G14/Data!G45,Data!G14/((Data!G45+Data!F45)/2)),"-")</f>
        <v/>
      </c>
      <c r="H60" s="83">
        <f>IFERROR(IF(COLUMN(H1)=2,Data!H14/Data!H45,Data!H14/((Data!H45+Data!G45)/2)),"-")</f>
        <v/>
      </c>
      <c r="I60" s="83">
        <f>IFERROR(IF(COLUMN(I1)=2,Data!I14/Data!I45,Data!I14/((Data!I45+Data!H45)/2)),"-")</f>
        <v/>
      </c>
      <c r="J60" s="83">
        <f>IFERROR(IF(COLUMN(J1)=2,Data!J14/Data!J45,Data!J14/((Data!J45+Data!I45)/2)),"-")</f>
        <v/>
      </c>
      <c r="K60" s="83">
        <f>IFERROR(IF(COLUMN(K1)=2,Data!K14/Data!K45,Data!K14/((Data!K45+Data!J45)/2)),"-")</f>
        <v/>
      </c>
      <c r="L60" s="83">
        <f>IFERROR(IF(COLUMN(L1)=2,Data!L14/Data!L45,Data!L14/((Data!L45+Data!K45)/2)),"-")</f>
        <v/>
      </c>
      <c r="N60" s="83">
        <f>IFERROR(Data!N14/Data!N45,"-")</f>
        <v/>
      </c>
      <c r="O60" s="83">
        <f>IFERROR(IF(COLUMN(N1)=2,Data!O14/Data!O45,Data!O14/((Data!O45+Data!N45)/2)),"-")</f>
        <v/>
      </c>
      <c r="P60" s="83">
        <f>IFERROR(IF(COLUMN(O1)=2,Data!P14/Data!P45,Data!P14/((Data!P45+Data!O45)/2)),"-")</f>
        <v/>
      </c>
      <c r="Q60" s="83">
        <f>IFERROR(IF(COLUMN(P1)=2,Data!Q14/Data!Q45,Data!Q14/((Data!Q45+Data!P45)/2)),"-")</f>
        <v/>
      </c>
      <c r="R60" s="83">
        <f>IFERROR(IF(COLUMN(Q1)=2,Data!R14/Data!R45,Data!R14/((Data!R45+Data!Q45)/2)),"-")</f>
        <v/>
      </c>
      <c r="S60" s="83">
        <f>IFERROR(IF(COLUMN(R1)=2,Data!S14/Data!S45,Data!S14/((Data!S45+Data!R45)/2)),"-")</f>
        <v/>
      </c>
      <c r="T60" s="83">
        <f>IFERROR(IF(COLUMN(S1)=2,Data!T14/Data!T45,Data!T14/((Data!T45+Data!S45)/2)),"-")</f>
        <v/>
      </c>
      <c r="U60" s="83">
        <f>IFERROR(IF(COLUMN(T1)=2,Data!U14/Data!U45,Data!U14/((Data!U45+Data!T45)/2)),"-")</f>
        <v/>
      </c>
    </row>
    <row r="61" ht="15" customHeight="1" s="74">
      <c r="A61" s="17" t="inlineStr">
        <is>
          <t>Days Sales Outstanding</t>
        </is>
      </c>
      <c r="B61" s="93">
        <f>IFERROR(IF(COLUMN(B1)=2,Data!B45/Data!B14*IF(COLUMN(B1)&gt;=13,90,365),((Data!B45+Data!B45)/2)/Data!B14*IF(COLUMN(B1)&gt;=13,90,365)),"-")</f>
        <v/>
      </c>
      <c r="C61" s="93">
        <f>IFERROR(IF(COLUMN(C1)=2,Data!C45/Data!C14*IF(COLUMN(C1)&gt;=13,90,365),((Data!C45+Data!B45)/2)/Data!C14*IF(COLUMN(C1)&gt;=13,90,365)),"-")</f>
        <v/>
      </c>
      <c r="D61" s="93">
        <f>IFERROR(IF(COLUMN(D1)=2,Data!D45/Data!D14*IF(COLUMN(D1)&gt;=13,90,365),((Data!D45+Data!C45)/2)/Data!D14*IF(COLUMN(D1)&gt;=13,90,365)),"-")</f>
        <v/>
      </c>
      <c r="E61" s="93">
        <f>IFERROR(IF(COLUMN(E1)=2,Data!E45/Data!E14*IF(COLUMN(E1)&gt;=13,90,365),((Data!E45+Data!D45)/2)/Data!E14*IF(COLUMN(E1)&gt;=13,90,365)),"-")</f>
        <v/>
      </c>
      <c r="F61" s="93">
        <f>IFERROR(IF(COLUMN(F1)=2,Data!F45/Data!F14*IF(COLUMN(F1)&gt;=13,90,365),((Data!F45+Data!E45)/2)/Data!F14*IF(COLUMN(F1)&gt;=13,90,365)),"-")</f>
        <v/>
      </c>
      <c r="G61" s="93">
        <f>IFERROR(IF(COLUMN(G1)=2,Data!G45/Data!G14*IF(COLUMN(G1)&gt;=13,90,365),((Data!G45+Data!F45)/2)/Data!G14*IF(COLUMN(G1)&gt;=13,90,365)),"-")</f>
        <v/>
      </c>
      <c r="H61" s="93">
        <f>IFERROR(IF(COLUMN(H1)=2,Data!H45/Data!H14*IF(COLUMN(H1)&gt;=13,90,365),((Data!H45+Data!G45)/2)/Data!H14*IF(COLUMN(H1)&gt;=13,90,365)),"-")</f>
        <v/>
      </c>
      <c r="I61" s="93">
        <f>IFERROR(IF(COLUMN(I1)=2,Data!I45/Data!I14*IF(COLUMN(I1)&gt;=13,90,365),((Data!I45+Data!H45)/2)/Data!I14*IF(COLUMN(I1)&gt;=13,90,365)),"-")</f>
        <v/>
      </c>
      <c r="J61" s="93">
        <f>IFERROR(IF(COLUMN(J1)=2,Data!J45/Data!J14*IF(COLUMN(J1)&gt;=13,90,365),((Data!J45+Data!I45)/2)/Data!J14*IF(COLUMN(J1)&gt;=13,90,365)),"-")</f>
        <v/>
      </c>
      <c r="K61" s="93">
        <f>IFERROR(IF(COLUMN(K1)=2,Data!K45/Data!K14*IF(COLUMN(K1)&gt;=13,90,365),((Data!K45+Data!J45)/2)/Data!K14*IF(COLUMN(K1)&gt;=13,90,365)),"-")</f>
        <v/>
      </c>
      <c r="L61" s="93">
        <f>IFERROR(IF(COLUMN(L1)=2,Data!L45/Data!L14*IF(COLUMN(L1)&gt;=13,90,365),((Data!L45+Data!K45)/2)/Data!L14*IF(COLUMN(L1)&gt;=13,90,365)),"-")</f>
        <v/>
      </c>
      <c r="N61" s="93">
        <f>IFERROR(Data!N45/Data!N14*90,"-")</f>
        <v/>
      </c>
      <c r="O61" s="93">
        <f>IFERROR(IF(COLUMN(N1)=2,Data!O45/Data!O14*IF(COLUMN(N1)&gt;=13,90,365),((Data!O45+Data!N45)/2)/Data!O14*IF(COLUMN(N1)&gt;=13,90,365)),"-")</f>
        <v/>
      </c>
      <c r="P61" s="93">
        <f>IFERROR(IF(COLUMN(O1)=2,Data!P45/Data!P14*IF(COLUMN(O1)&gt;=13,90,365),((Data!P45+Data!O45)/2)/Data!P14*IF(COLUMN(O1)&gt;=13,90,365)),"-")</f>
        <v/>
      </c>
      <c r="Q61" s="93">
        <f>IFERROR(IF(COLUMN(P1)=2,Data!Q45/Data!Q14*IF(COLUMN(P1)&gt;=13,90,365),((Data!Q45+Data!P45)/2)/Data!Q14*IF(COLUMN(P1)&gt;=13,90,365)),"-")</f>
        <v/>
      </c>
      <c r="R61" s="93">
        <f>IFERROR(IF(COLUMN(Q1)=2,Data!R45/Data!R14*IF(COLUMN(Q1)&gt;=13,90,365),((Data!R45+Data!Q45)/2)/Data!R14*IF(COLUMN(Q1)&gt;=13,90,365)),"-")</f>
        <v/>
      </c>
      <c r="S61" s="93">
        <f>IFERROR(IF(COLUMN(R1)=2,Data!S45/Data!S14*IF(COLUMN(R1)&gt;=13,90,365),((Data!S45+Data!R45)/2)/Data!S14*IF(COLUMN(R1)&gt;=13,90,365)),"-")</f>
        <v/>
      </c>
      <c r="T61" s="93">
        <f>IFERROR(IF(COLUMN(S1)=2,Data!T45/Data!T14*IF(COLUMN(S1)&gt;=13,90,365),((Data!T45+Data!S45)/2)/Data!T14*IF(COLUMN(S1)&gt;=13,90,365)),"-")</f>
        <v/>
      </c>
      <c r="U61" s="93">
        <f>IFERROR(IF(COLUMN(T1)=2,Data!U45/Data!U14*IF(COLUMN(T1)&gt;=13,90,365),((Data!U45+Data!T45)/2)/Data!U14*IF(COLUMN(T1)&gt;=13,90,365)),"-")</f>
        <v/>
      </c>
    </row>
    <row r="62" ht="15" customHeight="1" s="74">
      <c r="A62" s="15" t="inlineStr">
        <is>
          <t>Payables Turnover</t>
        </is>
      </c>
      <c r="B62" s="83">
        <f>IFERROR(IF(COLUMN(B1)=2,Data!B15/Data!B46,Data!B15/((Data!B46+Data!B46)/2)),"-")</f>
        <v/>
      </c>
      <c r="C62" s="83">
        <f>IFERROR(IF(COLUMN(C1)=2,Data!C15/Data!C46,Data!C15/((Data!C46+Data!B46)/2)),"-")</f>
        <v/>
      </c>
      <c r="D62" s="83">
        <f>IFERROR(IF(COLUMN(D1)=2,Data!D15/Data!D46,Data!D15/((Data!D46+Data!C46)/2)),"-")</f>
        <v/>
      </c>
      <c r="E62" s="83">
        <f>IFERROR(IF(COLUMN(E1)=2,Data!E15/Data!E46,Data!E15/((Data!E46+Data!D46)/2)),"-")</f>
        <v/>
      </c>
      <c r="F62" s="83">
        <f>IFERROR(IF(COLUMN(F1)=2,Data!F15/Data!F46,Data!F15/((Data!F46+Data!E46)/2)),"-")</f>
        <v/>
      </c>
      <c r="G62" s="83">
        <f>IFERROR(IF(COLUMN(G1)=2,Data!G15/Data!G46,Data!G15/((Data!G46+Data!F46)/2)),"-")</f>
        <v/>
      </c>
      <c r="H62" s="83">
        <f>IFERROR(IF(COLUMN(H1)=2,Data!H15/Data!H46,Data!H15/((Data!H46+Data!G46)/2)),"-")</f>
        <v/>
      </c>
      <c r="I62" s="83">
        <f>IFERROR(IF(COLUMN(I1)=2,Data!I15/Data!I46,Data!I15/((Data!I46+Data!H46)/2)),"-")</f>
        <v/>
      </c>
      <c r="J62" s="83">
        <f>IFERROR(IF(COLUMN(J1)=2,Data!J15/Data!J46,Data!J15/((Data!J46+Data!I46)/2)),"-")</f>
        <v/>
      </c>
      <c r="K62" s="83">
        <f>IFERROR(IF(COLUMN(K1)=2,Data!K15/Data!K46,Data!K15/((Data!K46+Data!J46)/2)),"-")</f>
        <v/>
      </c>
      <c r="L62" s="83">
        <f>IFERROR(IF(COLUMN(L1)=2,Data!L15/Data!L46,Data!L15/((Data!L46+Data!K46)/2)),"-")</f>
        <v/>
      </c>
      <c r="N62" s="83">
        <f>IFERROR(Data!N15/Data!N46,"-")</f>
        <v/>
      </c>
      <c r="O62" s="83">
        <f>IFERROR(IF(COLUMN(N1)=2,Data!O15/Data!O46,Data!O15/((Data!O46+Data!N46)/2)),"-")</f>
        <v/>
      </c>
      <c r="P62" s="83">
        <f>IFERROR(IF(COLUMN(O1)=2,Data!P15/Data!P46,Data!P15/((Data!P46+Data!O46)/2)),"-")</f>
        <v/>
      </c>
      <c r="Q62" s="83">
        <f>IFERROR(IF(COLUMN(P1)=2,Data!Q15/Data!Q46,Data!Q15/((Data!Q46+Data!P46)/2)),"-")</f>
        <v/>
      </c>
      <c r="R62" s="83">
        <f>IFERROR(IF(COLUMN(Q1)=2,Data!R15/Data!R46,Data!R15/((Data!R46+Data!Q46)/2)),"-")</f>
        <v/>
      </c>
      <c r="S62" s="83">
        <f>IFERROR(IF(COLUMN(R1)=2,Data!S15/Data!S46,Data!S15/((Data!S46+Data!R46)/2)),"-")</f>
        <v/>
      </c>
      <c r="T62" s="83">
        <f>IFERROR(IF(COLUMN(S1)=2,Data!T15/Data!T46,Data!T15/((Data!T46+Data!S46)/2)),"-")</f>
        <v/>
      </c>
      <c r="U62" s="83">
        <f>IFERROR(IF(COLUMN(T1)=2,Data!U15/Data!U46,Data!U15/((Data!U46+Data!T46)/2)),"-")</f>
        <v/>
      </c>
    </row>
    <row r="63" ht="15" customHeight="1" s="74">
      <c r="A63" s="17" t="inlineStr">
        <is>
          <t>Days Payables Outstanding</t>
        </is>
      </c>
      <c r="B63" s="93">
        <f>IFERROR(IF(COLUMN(B1)=2,Data!B46/Data!B15*IF(COLUMN(B1)&gt;=13,90,365),((Data!B46+Data!B46)/2)/Data!B15*IF(COLUMN(B1)&gt;=13,90,365)),"-")</f>
        <v/>
      </c>
      <c r="C63" s="93">
        <f>IFERROR(IF(COLUMN(C1)=2,Data!C46/Data!C15*IF(COLUMN(C1)&gt;=13,90,365),((Data!C46+Data!B46)/2)/Data!C15*IF(COLUMN(C1)&gt;=13,90,365)),"-")</f>
        <v/>
      </c>
      <c r="D63" s="93">
        <f>IFERROR(IF(COLUMN(D1)=2,Data!D46/Data!D15*IF(COLUMN(D1)&gt;=13,90,365),((Data!D46+Data!C46)/2)/Data!D15*IF(COLUMN(D1)&gt;=13,90,365)),"-")</f>
        <v/>
      </c>
      <c r="E63" s="93">
        <f>IFERROR(IF(COLUMN(E1)=2,Data!E46/Data!E15*IF(COLUMN(E1)&gt;=13,90,365),((Data!E46+Data!D46)/2)/Data!E15*IF(COLUMN(E1)&gt;=13,90,365)),"-")</f>
        <v/>
      </c>
      <c r="F63" s="93">
        <f>IFERROR(IF(COLUMN(F1)=2,Data!F46/Data!F15*IF(COLUMN(F1)&gt;=13,90,365),((Data!F46+Data!E46)/2)/Data!F15*IF(COLUMN(F1)&gt;=13,90,365)),"-")</f>
        <v/>
      </c>
      <c r="G63" s="93">
        <f>IFERROR(IF(COLUMN(G1)=2,Data!G46/Data!G15*IF(COLUMN(G1)&gt;=13,90,365),((Data!G46+Data!F46)/2)/Data!G15*IF(COLUMN(G1)&gt;=13,90,365)),"-")</f>
        <v/>
      </c>
      <c r="H63" s="93">
        <f>IFERROR(IF(COLUMN(H1)=2,Data!H46/Data!H15*IF(COLUMN(H1)&gt;=13,90,365),((Data!H46+Data!G46)/2)/Data!H15*IF(COLUMN(H1)&gt;=13,90,365)),"-")</f>
        <v/>
      </c>
      <c r="I63" s="93">
        <f>IFERROR(IF(COLUMN(I1)=2,Data!I46/Data!I15*IF(COLUMN(I1)&gt;=13,90,365),((Data!I46+Data!H46)/2)/Data!I15*IF(COLUMN(I1)&gt;=13,90,365)),"-")</f>
        <v/>
      </c>
      <c r="J63" s="93">
        <f>IFERROR(IF(COLUMN(J1)=2,Data!J46/Data!J15*IF(COLUMN(J1)&gt;=13,90,365),((Data!J46+Data!I46)/2)/Data!J15*IF(COLUMN(J1)&gt;=13,90,365)),"-")</f>
        <v/>
      </c>
      <c r="K63" s="93">
        <f>IFERROR(IF(COLUMN(K1)=2,Data!K46/Data!K15*IF(COLUMN(K1)&gt;=13,90,365),((Data!K46+Data!J46)/2)/Data!K15*IF(COLUMN(K1)&gt;=13,90,365)),"-")</f>
        <v/>
      </c>
      <c r="L63" s="93">
        <f>IFERROR(IF(COLUMN(L1)=2,Data!L46/Data!L15*IF(COLUMN(L1)&gt;=13,90,365),((Data!L46+Data!K46)/2)/Data!L15*IF(COLUMN(L1)&gt;=13,90,365)),"-")</f>
        <v/>
      </c>
      <c r="N63" s="93">
        <f>IFERROR(Data!N46/Data!N15*90,"-")</f>
        <v/>
      </c>
      <c r="O63" s="93">
        <f>IFERROR(IF(COLUMN(N1)=2,Data!O46/Data!O15*IF(COLUMN(N1)&gt;=13,90,365),((Data!O46+Data!N46)/2)/Data!O15*IF(COLUMN(N1)&gt;=13,90,365)),"-")</f>
        <v/>
      </c>
      <c r="P63" s="93">
        <f>IFERROR(IF(COLUMN(O1)=2,Data!P46/Data!P15*IF(COLUMN(O1)&gt;=13,90,365),((Data!P46+Data!O46)/2)/Data!P15*IF(COLUMN(O1)&gt;=13,90,365)),"-")</f>
        <v/>
      </c>
      <c r="Q63" s="93">
        <f>IFERROR(IF(COLUMN(P1)=2,Data!Q46/Data!Q15*IF(COLUMN(P1)&gt;=13,90,365),((Data!Q46+Data!P46)/2)/Data!Q15*IF(COLUMN(P1)&gt;=13,90,365)),"-")</f>
        <v/>
      </c>
      <c r="R63" s="93">
        <f>IFERROR(IF(COLUMN(Q1)=2,Data!R46/Data!R15*IF(COLUMN(Q1)&gt;=13,90,365),((Data!R46+Data!Q46)/2)/Data!R15*IF(COLUMN(Q1)&gt;=13,90,365)),"-")</f>
        <v/>
      </c>
      <c r="S63" s="93">
        <f>IFERROR(IF(COLUMN(R1)=2,Data!S46/Data!S15*IF(COLUMN(R1)&gt;=13,90,365),((Data!S46+Data!R46)/2)/Data!S15*IF(COLUMN(R1)&gt;=13,90,365)),"-")</f>
        <v/>
      </c>
      <c r="T63" s="93">
        <f>IFERROR(IF(COLUMN(S1)=2,Data!T46/Data!T15*IF(COLUMN(S1)&gt;=13,90,365),((Data!T46+Data!S46)/2)/Data!T15*IF(COLUMN(S1)&gt;=13,90,365)),"-")</f>
        <v/>
      </c>
      <c r="U63" s="93">
        <f>IFERROR(IF(COLUMN(T1)=2,Data!U46/Data!U15*IF(COLUMN(T1)&gt;=13,90,365),((Data!U46+Data!T46)/2)/Data!U15*IF(COLUMN(T1)&gt;=13,90,365)),"-")</f>
        <v/>
      </c>
    </row>
    <row r="64" ht="15" customHeight="1" s="74">
      <c r="A64" s="15" t="inlineStr">
        <is>
          <t>Cash Conversion Cycle (days)</t>
        </is>
      </c>
      <c r="B64" s="83">
        <f>IFERROR(B59+B61-B63,"-")</f>
        <v/>
      </c>
      <c r="C64" s="83">
        <f>IFERROR(C59+C61-C63,"-")</f>
        <v/>
      </c>
      <c r="D64" s="83">
        <f>IFERROR(D59+D61-D63,"-")</f>
        <v/>
      </c>
      <c r="E64" s="83">
        <f>IFERROR(E59+E61-E63,"-")</f>
        <v/>
      </c>
      <c r="F64" s="83">
        <f>IFERROR(F59+F61-F63,"-")</f>
        <v/>
      </c>
      <c r="G64" s="83">
        <f>IFERROR(G59+G61-G63,"-")</f>
        <v/>
      </c>
      <c r="H64" s="83">
        <f>IFERROR(H59+H61-H63,"-")</f>
        <v/>
      </c>
      <c r="I64" s="83">
        <f>IFERROR(I59+I61-I63,"-")</f>
        <v/>
      </c>
      <c r="J64" s="83">
        <f>IFERROR(J59+J61-J63,"-")</f>
        <v/>
      </c>
      <c r="K64" s="83">
        <f>IFERROR(K59+K61-K63,"-")</f>
        <v/>
      </c>
      <c r="L64" s="83">
        <f>IFERROR(L59+L61-L63,"-")</f>
        <v/>
      </c>
      <c r="N64" s="83">
        <f>IFERROR(N59+N61-N63,"-")</f>
        <v/>
      </c>
      <c r="O64" s="83">
        <f>IFERROR(O59+O61-O63,"-")</f>
        <v/>
      </c>
      <c r="P64" s="83">
        <f>IFERROR(P59+P61-P63,"-")</f>
        <v/>
      </c>
      <c r="Q64" s="83">
        <f>IFERROR(Q59+Q61-Q63,"-")</f>
        <v/>
      </c>
      <c r="R64" s="83">
        <f>IFERROR(R59+R61-R63,"-")</f>
        <v/>
      </c>
      <c r="S64" s="83">
        <f>IFERROR(S59+S61-S63,"-")</f>
        <v/>
      </c>
      <c r="T64" s="83">
        <f>IFERROR(T59+T61-T63,"-")</f>
        <v/>
      </c>
      <c r="U64" s="83">
        <f>IFERROR(U59+U61-U63,"-")</f>
        <v/>
      </c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N65" s="2" t="n"/>
      <c r="O65" s="2" t="n"/>
      <c r="P65" s="2" t="n"/>
      <c r="Q65" s="2" t="n"/>
      <c r="R65" s="2" t="n"/>
      <c r="S65" s="2" t="n"/>
      <c r="T65" s="2" t="n"/>
      <c r="U65" s="2" t="n"/>
    </row>
    <row r="66" ht="15" customHeight="1" s="74">
      <c r="A66" s="30" t="inlineStr">
        <is>
          <t>VALUATION &amp; SHAREHOLDER METRICS</t>
        </is>
      </c>
    </row>
    <row r="67" ht="15" customHeight="1" s="74">
      <c r="A67" s="14" t="inlineStr">
        <is>
          <t>Period</t>
        </is>
      </c>
      <c r="B67" s="14">
        <f>Data!B13</f>
        <v/>
      </c>
      <c r="C67" s="14">
        <f>Data!C13</f>
        <v/>
      </c>
      <c r="D67" s="14">
        <f>Data!D13</f>
        <v/>
      </c>
      <c r="E67" s="14">
        <f>Data!E13</f>
        <v/>
      </c>
      <c r="F67" s="14">
        <f>Data!F13</f>
        <v/>
      </c>
      <c r="G67" s="14">
        <f>Data!G13</f>
        <v/>
      </c>
      <c r="H67" s="14">
        <f>Data!H13</f>
        <v/>
      </c>
      <c r="I67" s="14">
        <f>Data!I13</f>
        <v/>
      </c>
      <c r="J67" s="14">
        <f>Data!J13</f>
        <v/>
      </c>
      <c r="K67" s="14">
        <f>Data!K13</f>
        <v/>
      </c>
      <c r="L67" s="14">
        <f>Data!L13</f>
        <v/>
      </c>
      <c r="N67" s="14">
        <f>Data!N13</f>
        <v/>
      </c>
      <c r="O67" s="14">
        <f>Data!O13</f>
        <v/>
      </c>
      <c r="P67" s="14">
        <f>Data!P13</f>
        <v/>
      </c>
      <c r="Q67" s="14">
        <f>Data!Q13</f>
        <v/>
      </c>
      <c r="R67" s="14">
        <f>Data!R13</f>
        <v/>
      </c>
      <c r="S67" s="14">
        <f>Data!S13</f>
        <v/>
      </c>
      <c r="T67" s="14">
        <f>Data!T13</f>
        <v/>
      </c>
      <c r="U67" s="14">
        <f>Data!U13</f>
        <v/>
      </c>
    </row>
    <row r="68" ht="15" customHeight="1" s="74">
      <c r="A68" s="15" t="inlineStr">
        <is>
          <t>Return on Capital (ROC)</t>
        </is>
      </c>
      <c r="B68" s="84">
        <f>IFERROR(Data!B22/(Data!B39-Data!B32),"-")</f>
        <v/>
      </c>
      <c r="C68" s="84">
        <f>IFERROR(Data!C22/(Data!C39-Data!C32),"-")</f>
        <v/>
      </c>
      <c r="D68" s="84">
        <f>IFERROR(Data!D22/(Data!D39-Data!D32),"-")</f>
        <v/>
      </c>
      <c r="E68" s="84">
        <f>IFERROR(Data!E22/(Data!E39-Data!E32),"-")</f>
        <v/>
      </c>
      <c r="F68" s="84">
        <f>IFERROR(Data!F22/(Data!F39-Data!F32),"-")</f>
        <v/>
      </c>
      <c r="G68" s="84">
        <f>IFERROR(Data!G22/(Data!G39-Data!G32),"-")</f>
        <v/>
      </c>
      <c r="H68" s="84">
        <f>IFERROR(Data!H22/(Data!H39-Data!H32),"-")</f>
        <v/>
      </c>
      <c r="I68" s="84">
        <f>IFERROR(Data!I22/(Data!I39-Data!I32),"-")</f>
        <v/>
      </c>
      <c r="J68" s="84">
        <f>IFERROR(Data!J22/(Data!J39-Data!J32),"-")</f>
        <v/>
      </c>
      <c r="K68" s="84">
        <f>IFERROR(Data!K22/(Data!K39-Data!K32),"-")</f>
        <v/>
      </c>
      <c r="L68" s="84">
        <f>IFERROR(Data!L22/(Data!L39-Data!L32),"-")</f>
        <v/>
      </c>
      <c r="N68" s="84">
        <f>IFERROR(Data!N22/(Data!N39-Data!N32),"-")</f>
        <v/>
      </c>
      <c r="O68" s="84">
        <f>IFERROR(Data!O22/(Data!O39-Data!O32),"-")</f>
        <v/>
      </c>
      <c r="P68" s="84">
        <f>IFERROR(Data!P22/(Data!P39-Data!P32),"-")</f>
        <v/>
      </c>
      <c r="Q68" s="84">
        <f>IFERROR(Data!Q22/(Data!Q39-Data!Q32),"-")</f>
        <v/>
      </c>
      <c r="R68" s="84">
        <f>IFERROR(Data!R22/(Data!R39-Data!R32),"-")</f>
        <v/>
      </c>
      <c r="S68" s="84">
        <f>IFERROR(Data!S22/(Data!S39-Data!S32),"-")</f>
        <v/>
      </c>
      <c r="T68" s="84">
        <f>IFERROR(Data!T22/(Data!T39-Data!T32),"-")</f>
        <v/>
      </c>
      <c r="U68" s="84">
        <f>IFERROR(Data!U22/(Data!U39-Data!U32),"-")</f>
        <v/>
      </c>
    </row>
    <row r="69" ht="15" customHeight="1" s="74">
      <c r="A69" s="17" t="inlineStr">
        <is>
          <t>Gross ROE (EBIT/Equity)</t>
        </is>
      </c>
      <c r="B69" s="81">
        <f>IFERROR(Data!B22/Data!B41,"-")</f>
        <v/>
      </c>
      <c r="C69" s="81">
        <f>IFERROR(Data!C22/Data!C41,"-")</f>
        <v/>
      </c>
      <c r="D69" s="81">
        <f>IFERROR(Data!D22/Data!D41,"-")</f>
        <v/>
      </c>
      <c r="E69" s="81">
        <f>IFERROR(Data!E22/Data!E41,"-")</f>
        <v/>
      </c>
      <c r="F69" s="81">
        <f>IFERROR(Data!F22/Data!F41,"-")</f>
        <v/>
      </c>
      <c r="G69" s="81">
        <f>IFERROR(Data!G22/Data!G41,"-")</f>
        <v/>
      </c>
      <c r="H69" s="81">
        <f>IFERROR(Data!H22/Data!H41,"-")</f>
        <v/>
      </c>
      <c r="I69" s="81">
        <f>IFERROR(Data!I22/Data!I41,"-")</f>
        <v/>
      </c>
      <c r="J69" s="81">
        <f>IFERROR(Data!J22/Data!J41,"-")</f>
        <v/>
      </c>
      <c r="K69" s="81">
        <f>IFERROR(Data!K22/Data!K41,"-")</f>
        <v/>
      </c>
      <c r="L69" s="81">
        <f>IFERROR(Data!L22/Data!L41,"-")</f>
        <v/>
      </c>
      <c r="N69" s="81">
        <f>IFERROR(Data!N22/Data!N41,"-")</f>
        <v/>
      </c>
      <c r="O69" s="81">
        <f>IFERROR(Data!O22/Data!O41,"-")</f>
        <v/>
      </c>
      <c r="P69" s="81">
        <f>IFERROR(Data!P22/Data!P41,"-")</f>
        <v/>
      </c>
      <c r="Q69" s="81">
        <f>IFERROR(Data!Q22/Data!Q41,"-")</f>
        <v/>
      </c>
      <c r="R69" s="81">
        <f>IFERROR(Data!R22/Data!R41,"-")</f>
        <v/>
      </c>
      <c r="S69" s="81">
        <f>IFERROR(Data!S22/Data!S41,"-")</f>
        <v/>
      </c>
      <c r="T69" s="81">
        <f>IFERROR(Data!T22/Data!T41,"-")</f>
        <v/>
      </c>
      <c r="U69" s="81">
        <f>IFERROR(Data!U22/Data!U41,"-")</f>
        <v/>
      </c>
    </row>
    <row r="70" ht="15" customHeight="1" s="74">
      <c r="A70" s="15" t="inlineStr">
        <is>
          <t>Hard Assets / Share (PP&amp;E + Cash)</t>
        </is>
      </c>
      <c r="B70" s="28">
        <f>IFERROR((Data!B44+Data!B32)/Data!B28,"-")</f>
        <v/>
      </c>
      <c r="C70" s="28">
        <f>IFERROR((Data!C44+Data!C32)/Data!C28,"-")</f>
        <v/>
      </c>
      <c r="D70" s="28">
        <f>IFERROR((Data!D44+Data!D32)/Data!D28,"-")</f>
        <v/>
      </c>
      <c r="E70" s="28">
        <f>IFERROR((Data!E44+Data!E32)/Data!E28,"-")</f>
        <v/>
      </c>
      <c r="F70" s="28">
        <f>IFERROR((Data!F44+Data!F32)/Data!F28,"-")</f>
        <v/>
      </c>
      <c r="G70" s="28">
        <f>IFERROR((Data!G44+Data!G32)/Data!G28,"-")</f>
        <v/>
      </c>
      <c r="H70" s="28">
        <f>IFERROR((Data!H44+Data!H32)/Data!H28,"-")</f>
        <v/>
      </c>
      <c r="I70" s="28">
        <f>IFERROR((Data!I44+Data!I32)/Data!I28,"-")</f>
        <v/>
      </c>
      <c r="J70" s="28">
        <f>IFERROR((Data!J44+Data!J32)/Data!J28,"-")</f>
        <v/>
      </c>
      <c r="K70" s="28">
        <f>IFERROR((Data!K44+Data!K32)/Data!K28,"-")</f>
        <v/>
      </c>
      <c r="L70" s="28">
        <f>IFERROR((Data!L44+Data!L32)/Data!L28,"-")</f>
        <v/>
      </c>
      <c r="N70" s="28">
        <f>IFERROR((Data!N44+Data!N32)/Data!N28,"-")</f>
        <v/>
      </c>
      <c r="O70" s="28">
        <f>IFERROR((Data!O44+Data!O32)/Data!O28,"-")</f>
        <v/>
      </c>
      <c r="P70" s="28">
        <f>IFERROR((Data!P44+Data!P32)/Data!P28,"-")</f>
        <v/>
      </c>
      <c r="Q70" s="28">
        <f>IFERROR((Data!Q44+Data!Q32)/Data!Q28,"-")</f>
        <v/>
      </c>
      <c r="R70" s="28">
        <f>IFERROR((Data!R44+Data!R32)/Data!R28,"-")</f>
        <v/>
      </c>
      <c r="S70" s="28">
        <f>IFERROR((Data!S44+Data!S32)/Data!S28,"-")</f>
        <v/>
      </c>
      <c r="T70" s="28">
        <f>IFERROR((Data!T44+Data!T32)/Data!T28,"-")</f>
        <v/>
      </c>
      <c r="U70" s="28">
        <f>IFERROR((Data!U44+Data!U32)/Data!U28,"-")</f>
        <v/>
      </c>
    </row>
    <row r="71" ht="15" customHeight="1" s="74">
      <c r="A71" s="17" t="inlineStr">
        <is>
          <t>Tangible Book Value / Share</t>
        </is>
      </c>
      <c r="B71" s="29">
        <f>IFERROR((Data!B41-Data!B43)/Data!B28,"-")</f>
        <v/>
      </c>
      <c r="C71" s="29">
        <f>IFERROR((Data!C41-Data!C43)/Data!C28,"-")</f>
        <v/>
      </c>
      <c r="D71" s="29">
        <f>IFERROR((Data!D41-Data!D43)/Data!D28,"-")</f>
        <v/>
      </c>
      <c r="E71" s="29">
        <f>IFERROR((Data!E41-Data!E43)/Data!E28,"-")</f>
        <v/>
      </c>
      <c r="F71" s="29">
        <f>IFERROR((Data!F41-Data!F43)/Data!F28,"-")</f>
        <v/>
      </c>
      <c r="G71" s="29">
        <f>IFERROR((Data!G41-Data!G43)/Data!G28,"-")</f>
        <v/>
      </c>
      <c r="H71" s="29">
        <f>IFERROR((Data!H41-Data!H43)/Data!H28,"-")</f>
        <v/>
      </c>
      <c r="I71" s="29">
        <f>IFERROR((Data!I41-Data!I43)/Data!I28,"-")</f>
        <v/>
      </c>
      <c r="J71" s="29">
        <f>IFERROR((Data!J41-Data!J43)/Data!J28,"-")</f>
        <v/>
      </c>
      <c r="K71" s="29">
        <f>IFERROR((Data!K41-Data!K43)/Data!K28,"-")</f>
        <v/>
      </c>
      <c r="L71" s="29">
        <f>IFERROR((Data!L41-Data!L43)/Data!L28,"-")</f>
        <v/>
      </c>
      <c r="N71" s="29">
        <f>IFERROR((Data!N41-Data!N43)/Data!N28,"-")</f>
        <v/>
      </c>
      <c r="O71" s="29">
        <f>IFERROR((Data!O41-Data!O43)/Data!O28,"-")</f>
        <v/>
      </c>
      <c r="P71" s="29">
        <f>IFERROR((Data!P41-Data!P43)/Data!P28,"-")</f>
        <v/>
      </c>
      <c r="Q71" s="29">
        <f>IFERROR((Data!Q41-Data!Q43)/Data!Q28,"-")</f>
        <v/>
      </c>
      <c r="R71" s="29">
        <f>IFERROR((Data!R41-Data!R43)/Data!R28,"-")</f>
        <v/>
      </c>
      <c r="S71" s="29">
        <f>IFERROR((Data!S41-Data!S43)/Data!S28,"-")</f>
        <v/>
      </c>
      <c r="T71" s="29">
        <f>IFERROR((Data!T41-Data!T43)/Data!T28,"-")</f>
        <v/>
      </c>
      <c r="U71" s="29">
        <f>IFERROR((Data!U41-Data!U43)/Data!U28,"-")</f>
        <v/>
      </c>
    </row>
    <row r="72" ht="15" customHeight="1" s="74">
      <c r="A72" s="15" t="inlineStr">
        <is>
          <t>Asset Turnover</t>
        </is>
      </c>
      <c r="B72" s="28">
        <f>IFERROR(Data!B14/Data!B39,"-")</f>
        <v/>
      </c>
      <c r="C72" s="28">
        <f>IFERROR(Data!C14/Data!C39,"-")</f>
        <v/>
      </c>
      <c r="D72" s="28">
        <f>IFERROR(Data!D14/Data!D39,"-")</f>
        <v/>
      </c>
      <c r="E72" s="28">
        <f>IFERROR(Data!E14/Data!E39,"-")</f>
        <v/>
      </c>
      <c r="F72" s="28">
        <f>IFERROR(Data!F14/Data!F39,"-")</f>
        <v/>
      </c>
      <c r="G72" s="28">
        <f>IFERROR(Data!G14/Data!G39,"-")</f>
        <v/>
      </c>
      <c r="H72" s="28">
        <f>IFERROR(Data!H14/Data!H39,"-")</f>
        <v/>
      </c>
      <c r="I72" s="28">
        <f>IFERROR(Data!I14/Data!I39,"-")</f>
        <v/>
      </c>
      <c r="J72" s="28">
        <f>IFERROR(Data!J14/Data!J39,"-")</f>
        <v/>
      </c>
      <c r="K72" s="28">
        <f>IFERROR(Data!K14/Data!K39,"-")</f>
        <v/>
      </c>
      <c r="L72" s="28">
        <f>IFERROR(Data!L14/Data!L39,"-")</f>
        <v/>
      </c>
      <c r="N72" s="28">
        <f>IFERROR(Data!N14/Data!N39,"-")</f>
        <v/>
      </c>
      <c r="O72" s="28">
        <f>IFERROR(Data!O14/Data!O39,"-")</f>
        <v/>
      </c>
      <c r="P72" s="28">
        <f>IFERROR(Data!P14/Data!P39,"-")</f>
        <v/>
      </c>
      <c r="Q72" s="28">
        <f>IFERROR(Data!Q14/Data!Q39,"-")</f>
        <v/>
      </c>
      <c r="R72" s="28">
        <f>IFERROR(Data!R14/Data!R39,"-")</f>
        <v/>
      </c>
      <c r="S72" s="28">
        <f>IFERROR(Data!S14/Data!S39,"-")</f>
        <v/>
      </c>
      <c r="T72" s="28">
        <f>IFERROR(Data!T14/Data!T39,"-")</f>
        <v/>
      </c>
      <c r="U72" s="28">
        <f>IFERROR(Data!U14/Data!U39,"-")</f>
        <v/>
      </c>
    </row>
    <row r="73" ht="15" customHeight="1" s="74">
      <c r="A73" s="17" t="inlineStr">
        <is>
          <t>Dividend Payout Ratio</t>
        </is>
      </c>
      <c r="B73" s="81">
        <f>IFERROR(ABS(Data!B55)/Data!B26,"-")</f>
        <v/>
      </c>
      <c r="C73" s="81">
        <f>IFERROR(ABS(Data!C55)/Data!C26,"-")</f>
        <v/>
      </c>
      <c r="D73" s="81">
        <f>IFERROR(ABS(Data!D55)/Data!D26,"-")</f>
        <v/>
      </c>
      <c r="E73" s="81">
        <f>IFERROR(ABS(Data!E55)/Data!E26,"-")</f>
        <v/>
      </c>
      <c r="F73" s="81">
        <f>IFERROR(ABS(Data!F55)/Data!F26,"-")</f>
        <v/>
      </c>
      <c r="G73" s="81">
        <f>IFERROR(ABS(Data!G55)/Data!G26,"-")</f>
        <v/>
      </c>
      <c r="H73" s="81">
        <f>IFERROR(ABS(Data!H55)/Data!H26,"-")</f>
        <v/>
      </c>
      <c r="I73" s="81">
        <f>IFERROR(ABS(Data!I55)/Data!I26,"-")</f>
        <v/>
      </c>
      <c r="J73" s="81">
        <f>IFERROR(ABS(Data!J55)/Data!J26,"-")</f>
        <v/>
      </c>
      <c r="K73" s="81">
        <f>IFERROR(ABS(Data!K55)/Data!K26,"-")</f>
        <v/>
      </c>
      <c r="L73" s="81">
        <f>IFERROR(ABS(Data!L55)/Data!L26,"-")</f>
        <v/>
      </c>
      <c r="N73" s="81">
        <f>IFERROR(ABS(Data!N55)/Data!N26,"-")</f>
        <v/>
      </c>
      <c r="O73" s="81">
        <f>IFERROR(ABS(Data!O55)/Data!O26,"-")</f>
        <v/>
      </c>
      <c r="P73" s="81">
        <f>IFERROR(ABS(Data!P55)/Data!P26,"-")</f>
        <v/>
      </c>
      <c r="Q73" s="81">
        <f>IFERROR(ABS(Data!Q55)/Data!Q26,"-")</f>
        <v/>
      </c>
      <c r="R73" s="81">
        <f>IFERROR(ABS(Data!R55)/Data!R26,"-")</f>
        <v/>
      </c>
      <c r="S73" s="81">
        <f>IFERROR(ABS(Data!S55)/Data!S26,"-")</f>
        <v/>
      </c>
      <c r="T73" s="81">
        <f>IFERROR(ABS(Data!T55)/Data!T26,"-")</f>
        <v/>
      </c>
      <c r="U73" s="81">
        <f>IFERROR(ABS(Data!U55)/Data!U26,"-")</f>
        <v/>
      </c>
    </row>
    <row r="74" ht="15" customHeight="1" s="74">
      <c r="A74" s="15" t="inlineStr">
        <is>
          <t>SBC / Revenue</t>
        </is>
      </c>
      <c r="B74" s="84">
        <f>IFERROR(Data!B54/Data!B14,"-")</f>
        <v/>
      </c>
      <c r="C74" s="84">
        <f>IFERROR(Data!C54/Data!C14,"-")</f>
        <v/>
      </c>
      <c r="D74" s="84">
        <f>IFERROR(Data!D54/Data!D14,"-")</f>
        <v/>
      </c>
      <c r="E74" s="84">
        <f>IFERROR(Data!E54/Data!E14,"-")</f>
        <v/>
      </c>
      <c r="F74" s="84">
        <f>IFERROR(Data!F54/Data!F14,"-")</f>
        <v/>
      </c>
      <c r="G74" s="84">
        <f>IFERROR(Data!G54/Data!G14,"-")</f>
        <v/>
      </c>
      <c r="H74" s="84">
        <f>IFERROR(Data!H54/Data!H14,"-")</f>
        <v/>
      </c>
      <c r="I74" s="84">
        <f>IFERROR(Data!I54/Data!I14,"-")</f>
        <v/>
      </c>
      <c r="J74" s="84">
        <f>IFERROR(Data!J54/Data!J14,"-")</f>
        <v/>
      </c>
      <c r="K74" s="84">
        <f>IFERROR(Data!K54/Data!K14,"-")</f>
        <v/>
      </c>
      <c r="L74" s="84">
        <f>IFERROR(Data!L54/Data!L14,"-")</f>
        <v/>
      </c>
      <c r="N74" s="84">
        <f>IFERROR(Data!N54/Data!N14,"-")</f>
        <v/>
      </c>
      <c r="O74" s="84">
        <f>IFERROR(Data!O54/Data!O14,"-")</f>
        <v/>
      </c>
      <c r="P74" s="84">
        <f>IFERROR(Data!P54/Data!P14,"-")</f>
        <v/>
      </c>
      <c r="Q74" s="84">
        <f>IFERROR(Data!Q54/Data!Q14,"-")</f>
        <v/>
      </c>
      <c r="R74" s="84">
        <f>IFERROR(Data!R54/Data!R14,"-")</f>
        <v/>
      </c>
      <c r="S74" s="84">
        <f>IFERROR(Data!S54/Data!S14,"-")</f>
        <v/>
      </c>
      <c r="T74" s="84">
        <f>IFERROR(Data!T54/Data!T14,"-")</f>
        <v/>
      </c>
      <c r="U74" s="84">
        <f>IFERROR(Data!U54/Data!U14,"-")</f>
        <v/>
      </c>
    </row>
    <row r="75" ht="15" customHeight="1" s="74">
      <c r="A75" s="17" t="inlineStr">
        <is>
          <t>SBC / FCF</t>
        </is>
      </c>
      <c r="B75" s="81">
        <f>IFERROR(Data!B54/Data!B53,"-")</f>
        <v/>
      </c>
      <c r="C75" s="81">
        <f>IFERROR(Data!C54/Data!C53,"-")</f>
        <v/>
      </c>
      <c r="D75" s="81">
        <f>IFERROR(Data!D54/Data!D53,"-")</f>
        <v/>
      </c>
      <c r="E75" s="81">
        <f>IFERROR(Data!E54/Data!E53,"-")</f>
        <v/>
      </c>
      <c r="F75" s="81">
        <f>IFERROR(Data!F54/Data!F53,"-")</f>
        <v/>
      </c>
      <c r="G75" s="81">
        <f>IFERROR(Data!G54/Data!G53,"-")</f>
        <v/>
      </c>
      <c r="H75" s="81">
        <f>IFERROR(Data!H54/Data!H53,"-")</f>
        <v/>
      </c>
      <c r="I75" s="81">
        <f>IFERROR(Data!I54/Data!I53,"-")</f>
        <v/>
      </c>
      <c r="J75" s="81">
        <f>IFERROR(Data!J54/Data!J53,"-")</f>
        <v/>
      </c>
      <c r="K75" s="81">
        <f>IFERROR(Data!K54/Data!K53,"-")</f>
        <v/>
      </c>
      <c r="L75" s="81">
        <f>IFERROR(Data!L54/Data!L53,"-")</f>
        <v/>
      </c>
      <c r="N75" s="81">
        <f>IFERROR(Data!N54/Data!N53,"-")</f>
        <v/>
      </c>
      <c r="O75" s="81">
        <f>IFERROR(Data!O54/Data!O53,"-")</f>
        <v/>
      </c>
      <c r="P75" s="81">
        <f>IFERROR(Data!P54/Data!P53,"-")</f>
        <v/>
      </c>
      <c r="Q75" s="81">
        <f>IFERROR(Data!Q54/Data!Q53,"-")</f>
        <v/>
      </c>
      <c r="R75" s="81">
        <f>IFERROR(Data!R54/Data!R53,"-")</f>
        <v/>
      </c>
      <c r="S75" s="81">
        <f>IFERROR(Data!S54/Data!S53,"-")</f>
        <v/>
      </c>
      <c r="T75" s="81">
        <f>IFERROR(Data!T54/Data!T53,"-")</f>
        <v/>
      </c>
      <c r="U75" s="81">
        <f>IFERROR(Data!U54/Data!U53,"-")</f>
        <v/>
      </c>
    </row>
    <row r="76" ht="15" customHeight="1" s="74">
      <c r="A76" s="15" t="inlineStr">
        <is>
          <t>FCF Conversion (FCF/NI)</t>
        </is>
      </c>
      <c r="B76" s="84">
        <f>IFERROR(Data!B53/Data!B26,"-")</f>
        <v/>
      </c>
      <c r="C76" s="84">
        <f>IFERROR(Data!C53/Data!C26,"-")</f>
        <v/>
      </c>
      <c r="D76" s="84">
        <f>IFERROR(Data!D53/Data!D26,"-")</f>
        <v/>
      </c>
      <c r="E76" s="84">
        <f>IFERROR(Data!E53/Data!E26,"-")</f>
        <v/>
      </c>
      <c r="F76" s="84">
        <f>IFERROR(Data!F53/Data!F26,"-")</f>
        <v/>
      </c>
      <c r="G76" s="84">
        <f>IFERROR(Data!G53/Data!G26,"-")</f>
        <v/>
      </c>
      <c r="H76" s="84">
        <f>IFERROR(Data!H53/Data!H26,"-")</f>
        <v/>
      </c>
      <c r="I76" s="84">
        <f>IFERROR(Data!I53/Data!I26,"-")</f>
        <v/>
      </c>
      <c r="J76" s="84">
        <f>IFERROR(Data!J53/Data!J26,"-")</f>
        <v/>
      </c>
      <c r="K76" s="84">
        <f>IFERROR(Data!K53/Data!K26,"-")</f>
        <v/>
      </c>
      <c r="L76" s="84">
        <f>IFERROR(Data!L53/Data!L26,"-")</f>
        <v/>
      </c>
      <c r="N76" s="84">
        <f>IFERROR(Data!N53/Data!N26,"-")</f>
        <v/>
      </c>
      <c r="O76" s="84">
        <f>IFERROR(Data!O53/Data!O26,"-")</f>
        <v/>
      </c>
      <c r="P76" s="84">
        <f>IFERROR(Data!P53/Data!P26,"-")</f>
        <v/>
      </c>
      <c r="Q76" s="84">
        <f>IFERROR(Data!Q53/Data!Q26,"-")</f>
        <v/>
      </c>
      <c r="R76" s="84">
        <f>IFERROR(Data!R53/Data!R26,"-")</f>
        <v/>
      </c>
      <c r="S76" s="84">
        <f>IFERROR(Data!S53/Data!S26,"-")</f>
        <v/>
      </c>
      <c r="T76" s="84">
        <f>IFERROR(Data!T53/Data!T26,"-")</f>
        <v/>
      </c>
      <c r="U76" s="84">
        <f>IFERROR(Data!U53/Data!U26,"-")</f>
        <v/>
      </c>
    </row>
    <row r="77" ht="15" customHeight="1" s="74">
      <c r="A77" s="17" t="inlineStr">
        <is>
          <t>CapEx / Revenue</t>
        </is>
      </c>
      <c r="B77" s="81">
        <f>IFERROR(ABS(Data!B52)/Data!B14,"-")</f>
        <v/>
      </c>
      <c r="C77" s="81">
        <f>IFERROR(ABS(Data!C52)/Data!C14,"-")</f>
        <v/>
      </c>
      <c r="D77" s="81">
        <f>IFERROR(ABS(Data!D52)/Data!D14,"-")</f>
        <v/>
      </c>
      <c r="E77" s="81">
        <f>IFERROR(ABS(Data!E52)/Data!E14,"-")</f>
        <v/>
      </c>
      <c r="F77" s="81">
        <f>IFERROR(ABS(Data!F52)/Data!F14,"-")</f>
        <v/>
      </c>
      <c r="G77" s="81">
        <f>IFERROR(ABS(Data!G52)/Data!G14,"-")</f>
        <v/>
      </c>
      <c r="H77" s="81">
        <f>IFERROR(ABS(Data!H52)/Data!H14,"-")</f>
        <v/>
      </c>
      <c r="I77" s="81">
        <f>IFERROR(ABS(Data!I52)/Data!I14,"-")</f>
        <v/>
      </c>
      <c r="J77" s="81">
        <f>IFERROR(ABS(Data!J52)/Data!J14,"-")</f>
        <v/>
      </c>
      <c r="K77" s="81">
        <f>IFERROR(ABS(Data!K52)/Data!K14,"-")</f>
        <v/>
      </c>
      <c r="L77" s="81">
        <f>IFERROR(ABS(Data!L52)/Data!L14,"-")</f>
        <v/>
      </c>
      <c r="N77" s="81">
        <f>IFERROR(ABS(Data!N52)/Data!N14,"-")</f>
        <v/>
      </c>
      <c r="O77" s="81">
        <f>IFERROR(ABS(Data!O52)/Data!O14,"-")</f>
        <v/>
      </c>
      <c r="P77" s="81">
        <f>IFERROR(ABS(Data!P52)/Data!P14,"-")</f>
        <v/>
      </c>
      <c r="Q77" s="81">
        <f>IFERROR(ABS(Data!Q52)/Data!Q14,"-")</f>
        <v/>
      </c>
      <c r="R77" s="81">
        <f>IFERROR(ABS(Data!R52)/Data!R14,"-")</f>
        <v/>
      </c>
      <c r="S77" s="81">
        <f>IFERROR(ABS(Data!S52)/Data!S14,"-")</f>
        <v/>
      </c>
      <c r="T77" s="81">
        <f>IFERROR(ABS(Data!T52)/Data!T14,"-")</f>
        <v/>
      </c>
      <c r="U77" s="81">
        <f>IFERROR(ABS(Data!U52)/Data!U14,"-")</f>
        <v/>
      </c>
    </row>
    <row r="78" ht="15" customHeight="1" s="74">
      <c r="A78" s="15" t="inlineStr">
        <is>
          <t>CapEx / D&amp;A</t>
        </is>
      </c>
      <c r="B78" s="83">
        <f>IFERROR(ABS(Data!B52)/Data!B21,"-")</f>
        <v/>
      </c>
      <c r="C78" s="83">
        <f>IFERROR(ABS(Data!C52)/Data!C21,"-")</f>
        <v/>
      </c>
      <c r="D78" s="83">
        <f>IFERROR(ABS(Data!D52)/Data!D21,"-")</f>
        <v/>
      </c>
      <c r="E78" s="83">
        <f>IFERROR(ABS(Data!E52)/Data!E21,"-")</f>
        <v/>
      </c>
      <c r="F78" s="83">
        <f>IFERROR(ABS(Data!F52)/Data!F21,"-")</f>
        <v/>
      </c>
      <c r="G78" s="83">
        <f>IFERROR(ABS(Data!G52)/Data!G21,"-")</f>
        <v/>
      </c>
      <c r="H78" s="83">
        <f>IFERROR(ABS(Data!H52)/Data!H21,"-")</f>
        <v/>
      </c>
      <c r="I78" s="83">
        <f>IFERROR(ABS(Data!I52)/Data!I21,"-")</f>
        <v/>
      </c>
      <c r="J78" s="83">
        <f>IFERROR(ABS(Data!J52)/Data!J21,"-")</f>
        <v/>
      </c>
      <c r="K78" s="83">
        <f>IFERROR(ABS(Data!K52)/Data!K21,"-")</f>
        <v/>
      </c>
      <c r="L78" s="83">
        <f>IFERROR(ABS(Data!L52)/Data!L21,"-")</f>
        <v/>
      </c>
      <c r="N78" s="83">
        <f>IFERROR(ABS(Data!N52)/Data!N21,"-")</f>
        <v/>
      </c>
      <c r="O78" s="83">
        <f>IFERROR(ABS(Data!O52)/Data!O21,"-")</f>
        <v/>
      </c>
      <c r="P78" s="83">
        <f>IFERROR(ABS(Data!P52)/Data!P21,"-")</f>
        <v/>
      </c>
      <c r="Q78" s="83">
        <f>IFERROR(ABS(Data!Q52)/Data!Q21,"-")</f>
        <v/>
      </c>
      <c r="R78" s="83">
        <f>IFERROR(ABS(Data!R52)/Data!R21,"-")</f>
        <v/>
      </c>
      <c r="S78" s="83">
        <f>IFERROR(ABS(Data!S52)/Data!S21,"-")</f>
        <v/>
      </c>
      <c r="T78" s="83">
        <f>IFERROR(ABS(Data!T52)/Data!T21,"-")</f>
        <v/>
      </c>
      <c r="U78" s="83">
        <f>IFERROR(ABS(Data!U52)/Data!U21,"-")</f>
        <v/>
      </c>
    </row>
    <row r="79" ht="15" customHeight="1" s="74">
      <c r="A79" s="17" t="inlineStr">
        <is>
          <t>Intangibles / Total Assets</t>
        </is>
      </c>
      <c r="B79" s="81">
        <f>IFERROR(Data!B43/Data!B39,"-")</f>
        <v/>
      </c>
      <c r="C79" s="81">
        <f>IFERROR(Data!C43/Data!C39,"-")</f>
        <v/>
      </c>
      <c r="D79" s="81">
        <f>IFERROR(Data!D43/Data!D39,"-")</f>
        <v/>
      </c>
      <c r="E79" s="81">
        <f>IFERROR(Data!E43/Data!E39,"-")</f>
        <v/>
      </c>
      <c r="F79" s="81">
        <f>IFERROR(Data!F43/Data!F39,"-")</f>
        <v/>
      </c>
      <c r="G79" s="81">
        <f>IFERROR(Data!G43/Data!G39,"-")</f>
        <v/>
      </c>
      <c r="H79" s="81">
        <f>IFERROR(Data!H43/Data!H39,"-")</f>
        <v/>
      </c>
      <c r="I79" s="81">
        <f>IFERROR(Data!I43/Data!I39,"-")</f>
        <v/>
      </c>
      <c r="J79" s="81">
        <f>IFERROR(Data!J43/Data!J39,"-")</f>
        <v/>
      </c>
      <c r="K79" s="81">
        <f>IFERROR(Data!K43/Data!K39,"-")</f>
        <v/>
      </c>
      <c r="L79" s="81">
        <f>IFERROR(Data!L43/Data!L39,"-")</f>
        <v/>
      </c>
      <c r="N79" s="81">
        <f>IFERROR(Data!N43/Data!N39,"-")</f>
        <v/>
      </c>
      <c r="O79" s="81">
        <f>IFERROR(Data!O43/Data!O39,"-")</f>
        <v/>
      </c>
      <c r="P79" s="81">
        <f>IFERROR(Data!P43/Data!P39,"-")</f>
        <v/>
      </c>
      <c r="Q79" s="81">
        <f>IFERROR(Data!Q43/Data!Q39,"-")</f>
        <v/>
      </c>
      <c r="R79" s="81">
        <f>IFERROR(Data!R43/Data!R39,"-")</f>
        <v/>
      </c>
      <c r="S79" s="81">
        <f>IFERROR(Data!S43/Data!S39,"-")</f>
        <v/>
      </c>
      <c r="T79" s="81">
        <f>IFERROR(Data!T43/Data!T39,"-")</f>
        <v/>
      </c>
      <c r="U79" s="81">
        <f>IFERROR(Data!U43/Data!U39,"-")</f>
        <v/>
      </c>
    </row>
    <row r="80" ht="15" customHeight="1" s="74">
      <c r="A80" s="15" t="inlineStr">
        <is>
          <t>Net Debt / EBITDA</t>
        </is>
      </c>
      <c r="B80" s="83">
        <f>IFERROR(Data!B36/Data!B20,"-")</f>
        <v/>
      </c>
      <c r="C80" s="83">
        <f>IFERROR(Data!C36/Data!C20,"-")</f>
        <v/>
      </c>
      <c r="D80" s="83">
        <f>IFERROR(Data!D36/Data!D20,"-")</f>
        <v/>
      </c>
      <c r="E80" s="83">
        <f>IFERROR(Data!E36/Data!E20,"-")</f>
        <v/>
      </c>
      <c r="F80" s="83">
        <f>IFERROR(Data!F36/Data!F20,"-")</f>
        <v/>
      </c>
      <c r="G80" s="83">
        <f>IFERROR(Data!G36/Data!G20,"-")</f>
        <v/>
      </c>
      <c r="H80" s="83">
        <f>IFERROR(Data!H36/Data!H20,"-")</f>
        <v/>
      </c>
      <c r="I80" s="83">
        <f>IFERROR(Data!I36/Data!I20,"-")</f>
        <v/>
      </c>
      <c r="J80" s="83">
        <f>IFERROR(Data!J36/Data!J20,"-")</f>
        <v/>
      </c>
      <c r="K80" s="83">
        <f>IFERROR(Data!K36/Data!K20,"-")</f>
        <v/>
      </c>
      <c r="L80" s="83">
        <f>IFERROR(Data!L36/Data!L20,"-")</f>
        <v/>
      </c>
      <c r="N80" s="83">
        <f>IFERROR(Data!N36/(Data!N20*4),"-")</f>
        <v/>
      </c>
      <c r="O80" s="83">
        <f>IFERROR(Data!O36/(Data!O20*4),"-")</f>
        <v/>
      </c>
      <c r="P80" s="83">
        <f>IFERROR(Data!P36/(Data!P20*4),"-")</f>
        <v/>
      </c>
      <c r="Q80" s="83">
        <f>IFERROR(Data!Q36/(Data!Q20*4),"-")</f>
        <v/>
      </c>
      <c r="R80" s="83">
        <f>IFERROR(Data!R36/(Data!R20*4),"-")</f>
        <v/>
      </c>
      <c r="S80" s="83">
        <f>IFERROR(Data!S36/(Data!S20*4),"-")</f>
        <v/>
      </c>
      <c r="T80" s="83">
        <f>IFERROR(Data!T36/(Data!T20*4),"-")</f>
        <v/>
      </c>
      <c r="U80" s="83">
        <f>IFERROR(Data!U36/(Data!U20*4),"-")</f>
        <v/>
      </c>
    </row>
    <row r="81" ht="15" customHeight="1" s="74">
      <c r="A81" s="17" t="inlineStr">
        <is>
          <t>Effective Tax Rate</t>
        </is>
      </c>
      <c r="B81" s="81">
        <f>IFERROR(Data!B25/Data!B24,"-")</f>
        <v/>
      </c>
      <c r="C81" s="81">
        <f>IFERROR(Data!C25/Data!C24,"-")</f>
        <v/>
      </c>
      <c r="D81" s="81">
        <f>IFERROR(Data!D25/Data!D24,"-")</f>
        <v/>
      </c>
      <c r="E81" s="81">
        <f>IFERROR(Data!E25/Data!E24,"-")</f>
        <v/>
      </c>
      <c r="F81" s="81">
        <f>IFERROR(Data!F25/Data!F24,"-")</f>
        <v/>
      </c>
      <c r="G81" s="81">
        <f>IFERROR(Data!G25/Data!G24,"-")</f>
        <v/>
      </c>
      <c r="H81" s="81">
        <f>IFERROR(Data!H25/Data!H24,"-")</f>
        <v/>
      </c>
      <c r="I81" s="81">
        <f>IFERROR(Data!I25/Data!I24,"-")</f>
        <v/>
      </c>
      <c r="J81" s="81">
        <f>IFERROR(Data!J25/Data!J24,"-")</f>
        <v/>
      </c>
      <c r="K81" s="81">
        <f>IFERROR(Data!K25/Data!K24,"-")</f>
        <v/>
      </c>
      <c r="L81" s="81">
        <f>IFERROR(Data!L25/Data!L24,"-")</f>
        <v/>
      </c>
      <c r="N81" s="81">
        <f>IFERROR(Data!N25/Data!N24,"-")</f>
        <v/>
      </c>
      <c r="O81" s="81">
        <f>IFERROR(Data!O25/Data!O24,"-")</f>
        <v/>
      </c>
      <c r="P81" s="81">
        <f>IFERROR(Data!P25/Data!P24,"-")</f>
        <v/>
      </c>
      <c r="Q81" s="81">
        <f>IFERROR(Data!Q25/Data!Q24,"-")</f>
        <v/>
      </c>
      <c r="R81" s="81">
        <f>IFERROR(Data!R25/Data!R24,"-")</f>
        <v/>
      </c>
      <c r="S81" s="81">
        <f>IFERROR(Data!S25/Data!S24,"-")</f>
        <v/>
      </c>
      <c r="T81" s="81">
        <f>IFERROR(Data!T25/Data!T24,"-")</f>
        <v/>
      </c>
      <c r="U81" s="81">
        <f>IFERROR(Data!U25/Data!U24,"-")</f>
        <v/>
      </c>
    </row>
    <row r="82" ht="15" customHeight="1" s="74">
      <c r="A82" s="10" t="n"/>
      <c r="B82" s="10" t="n"/>
      <c r="C82" s="10" t="n"/>
      <c r="D82" s="10" t="n"/>
      <c r="E82" s="10" t="n"/>
      <c r="F82" s="10" t="n"/>
      <c r="G82" s="10" t="n"/>
      <c r="H82" s="10" t="n"/>
      <c r="I82" s="10" t="n"/>
      <c r="J82" s="10" t="n"/>
      <c r="K82" s="10" t="n"/>
      <c r="L82" s="10" t="n"/>
      <c r="N82" s="10" t="n"/>
      <c r="O82" s="10" t="n"/>
      <c r="P82" s="10" t="n"/>
      <c r="Q82" s="10" t="n"/>
      <c r="R82" s="10" t="n"/>
      <c r="S82" s="10" t="n"/>
      <c r="T82" s="10" t="n"/>
      <c r="U82" s="10" t="n"/>
    </row>
    <row r="83" ht="15" customHeight="1" s="74">
      <c r="A83" s="10" t="n"/>
    </row>
    <row r="84" ht="15" customHeight="1" s="74">
      <c r="A84" s="30" t="inlineStr">
        <is>
          <t>SHAREHOLDER METRICS</t>
        </is>
      </c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N84" s="2" t="n"/>
      <c r="O84" s="2" t="n"/>
      <c r="P84" s="2" t="n"/>
      <c r="Q84" s="2" t="n"/>
      <c r="R84" s="2" t="n"/>
      <c r="S84" s="2" t="n"/>
      <c r="T84" s="2" t="n"/>
      <c r="U84" s="2" t="n"/>
    </row>
    <row r="85" ht="15" customHeight="1" s="74">
      <c r="A85" s="14" t="inlineStr">
        <is>
          <t>Period</t>
        </is>
      </c>
      <c r="B85" s="14">
        <f>Data!B13</f>
        <v/>
      </c>
      <c r="C85" s="14">
        <f>Data!C13</f>
        <v/>
      </c>
      <c r="D85" s="14">
        <f>Data!D13</f>
        <v/>
      </c>
      <c r="E85" s="14">
        <f>Data!E13</f>
        <v/>
      </c>
      <c r="F85" s="14">
        <f>Data!F13</f>
        <v/>
      </c>
      <c r="G85" s="14">
        <f>Data!G13</f>
        <v/>
      </c>
      <c r="H85" s="14">
        <f>Data!H13</f>
        <v/>
      </c>
      <c r="I85" s="14">
        <f>Data!I13</f>
        <v/>
      </c>
      <c r="J85" s="14">
        <f>Data!J13</f>
        <v/>
      </c>
      <c r="K85" s="14">
        <f>Data!K13</f>
        <v/>
      </c>
      <c r="L85" s="14">
        <f>Data!L13</f>
        <v/>
      </c>
      <c r="N85" s="14">
        <f>Data!N13</f>
        <v/>
      </c>
      <c r="O85" s="14">
        <f>Data!O13</f>
        <v/>
      </c>
      <c r="P85" s="14">
        <f>Data!P13</f>
        <v/>
      </c>
      <c r="Q85" s="14">
        <f>Data!Q13</f>
        <v/>
      </c>
      <c r="R85" s="14">
        <f>Data!R13</f>
        <v/>
      </c>
      <c r="S85" s="14">
        <f>Data!S13</f>
        <v/>
      </c>
      <c r="T85" s="14">
        <f>Data!T13</f>
        <v/>
      </c>
      <c r="U85" s="14">
        <f>Data!U13</f>
        <v/>
      </c>
    </row>
    <row r="86" ht="15" customHeight="1" s="74">
      <c r="A86" s="17" t="inlineStr">
        <is>
          <t>Dividend Per Share</t>
        </is>
      </c>
      <c r="B86" s="22">
        <f>IFERROR(ABS(Data!B55)/Data!B28,"-")</f>
        <v/>
      </c>
      <c r="C86" s="22">
        <f>IFERROR(ABS(Data!C55)/Data!C28,"-")</f>
        <v/>
      </c>
      <c r="D86" s="22">
        <f>IFERROR(ABS(Data!D55)/Data!D28,"-")</f>
        <v/>
      </c>
      <c r="E86" s="22">
        <f>IFERROR(ABS(Data!E55)/Data!E28,"-")</f>
        <v/>
      </c>
      <c r="F86" s="22">
        <f>IFERROR(ABS(Data!F55)/Data!F28,"-")</f>
        <v/>
      </c>
      <c r="G86" s="22">
        <f>IFERROR(ABS(Data!G55)/Data!G28,"-")</f>
        <v/>
      </c>
      <c r="H86" s="22">
        <f>IFERROR(ABS(Data!H55)/Data!H28,"-")</f>
        <v/>
      </c>
      <c r="I86" s="22">
        <f>IFERROR(ABS(Data!I55)/Data!I28,"-")</f>
        <v/>
      </c>
      <c r="J86" s="22">
        <f>IFERROR(ABS(Data!J55)/Data!J28,"-")</f>
        <v/>
      </c>
      <c r="K86" s="22">
        <f>IFERROR(ABS(Data!K55)/Data!K28,"-")</f>
        <v/>
      </c>
      <c r="L86" s="22">
        <f>IFERROR(ABS(Data!L55)/Data!L28,"-")</f>
        <v/>
      </c>
      <c r="N86" s="22">
        <f>IFERROR(ABS(Data!N55)/Data!N28,"-")</f>
        <v/>
      </c>
      <c r="O86" s="22">
        <f>IFERROR(ABS(Data!O55)/Data!O28,"-")</f>
        <v/>
      </c>
      <c r="P86" s="22">
        <f>IFERROR(ABS(Data!P55)/Data!P28,"-")</f>
        <v/>
      </c>
      <c r="Q86" s="22">
        <f>IFERROR(ABS(Data!Q55)/Data!Q28,"-")</f>
        <v/>
      </c>
      <c r="R86" s="22">
        <f>IFERROR(ABS(Data!R55)/Data!R28,"-")</f>
        <v/>
      </c>
      <c r="S86" s="22">
        <f>IFERROR(ABS(Data!S55)/Data!S28,"-")</f>
        <v/>
      </c>
      <c r="T86" s="22">
        <f>IFERROR(ABS(Data!T55)/Data!T28,"-")</f>
        <v/>
      </c>
      <c r="U86" s="22">
        <f>IFERROR(ABS(Data!U55)/Data!U28,"-")</f>
        <v/>
      </c>
    </row>
    <row r="87" ht="15" customHeight="1" s="74">
      <c r="A87" s="17" t="inlineStr">
        <is>
          <t>Dividend Yield (on current price)</t>
        </is>
      </c>
      <c r="B87" s="8">
        <f>IFERROR(ABS(Data!B55)/(Data!B8*Data!B28),"-")</f>
        <v/>
      </c>
      <c r="C87" s="8">
        <f>IFERROR(ABS(Data!C55)/(Data!B8*Data!C28),"-")</f>
        <v/>
      </c>
      <c r="D87" s="8">
        <f>IFERROR(ABS(Data!D55)/(Data!B8*Data!D28),"-")</f>
        <v/>
      </c>
      <c r="E87" s="8">
        <f>IFERROR(ABS(Data!E55)/(Data!B8*Data!E28),"-")</f>
        <v/>
      </c>
      <c r="F87" s="8">
        <f>IFERROR(ABS(Data!F55)/(Data!B8*Data!F28),"-")</f>
        <v/>
      </c>
      <c r="G87" s="8">
        <f>IFERROR(ABS(Data!G55)/(Data!B8*Data!G28),"-")</f>
        <v/>
      </c>
      <c r="H87" s="8">
        <f>IFERROR(ABS(Data!H55)/(Data!B8*Data!H28),"-")</f>
        <v/>
      </c>
      <c r="I87" s="8">
        <f>IFERROR(ABS(Data!I55)/(Data!B8*Data!I28),"-")</f>
        <v/>
      </c>
      <c r="J87" s="8">
        <f>IFERROR(ABS(Data!J55)/(Data!B8*Data!J28),"-")</f>
        <v/>
      </c>
      <c r="K87" s="8">
        <f>IFERROR(ABS(Data!K55)/(Data!B8*Data!K28),"-")</f>
        <v/>
      </c>
      <c r="L87" s="8">
        <f>IFERROR(ABS(Data!L55)/(Data!B8*Data!L28),"-")</f>
        <v/>
      </c>
      <c r="N87" s="8">
        <f>IFERROR(ABS(Data!N55)/(Data!B8*Data!N28),"-")</f>
        <v/>
      </c>
      <c r="O87" s="8">
        <f>IFERROR(ABS(Data!O55)/(Data!B8*Data!O28),"-")</f>
        <v/>
      </c>
      <c r="P87" s="8">
        <f>IFERROR(ABS(Data!P55)/(Data!B8*Data!P28),"-")</f>
        <v/>
      </c>
      <c r="Q87" s="8">
        <f>IFERROR(ABS(Data!Q55)/(Data!B8*Data!Q28),"-")</f>
        <v/>
      </c>
      <c r="R87" s="8">
        <f>IFERROR(ABS(Data!R55)/(Data!B8*Data!R28),"-")</f>
        <v/>
      </c>
      <c r="S87" s="8">
        <f>IFERROR(ABS(Data!S55)/(Data!B8*Data!S28),"-")</f>
        <v/>
      </c>
      <c r="T87" s="8">
        <f>IFERROR(ABS(Data!T55)/(Data!B8*Data!T28),"-")</f>
        <v/>
      </c>
      <c r="U87" s="9">
        <f>IFERROR(ABS(Data!U55)/(Data!B8*Data!U28),"-")</f>
        <v/>
      </c>
    </row>
    <row r="88" ht="15" customHeight="1" s="74">
      <c r="A88" s="17" t="inlineStr">
        <is>
          <t>SBC / Net Income</t>
        </is>
      </c>
      <c r="B88" s="90">
        <f>IFERROR(Data!B54/Data!B26,"-")</f>
        <v/>
      </c>
      <c r="C88" s="90">
        <f>IFERROR(Data!C54/Data!C26,"-")</f>
        <v/>
      </c>
      <c r="D88" s="90">
        <f>IFERROR(Data!D54/Data!D26,"-")</f>
        <v/>
      </c>
      <c r="E88" s="90">
        <f>IFERROR(Data!E54/Data!E26,"-")</f>
        <v/>
      </c>
      <c r="F88" s="90">
        <f>IFERROR(Data!F54/Data!F26,"-")</f>
        <v/>
      </c>
      <c r="G88" s="90">
        <f>IFERROR(Data!G54/Data!G26,"-")</f>
        <v/>
      </c>
      <c r="H88" s="90">
        <f>IFERROR(Data!H54/Data!H26,"-")</f>
        <v/>
      </c>
      <c r="I88" s="90">
        <f>IFERROR(Data!I54/Data!I26,"-")</f>
        <v/>
      </c>
      <c r="J88" s="90">
        <f>IFERROR(Data!J54/Data!J26,"-")</f>
        <v/>
      </c>
      <c r="K88" s="90">
        <f>IFERROR(Data!K54/Data!K26,"-")</f>
        <v/>
      </c>
      <c r="L88" s="90">
        <f>IFERROR(Data!L54/Data!L26,"-")</f>
        <v/>
      </c>
      <c r="N88" s="90">
        <f>IFERROR(Data!N54/Data!N26,"-")</f>
        <v/>
      </c>
      <c r="O88" s="90">
        <f>IFERROR(Data!O54/Data!O26,"-")</f>
        <v/>
      </c>
      <c r="P88" s="90">
        <f>IFERROR(Data!P54/Data!P26,"-")</f>
        <v/>
      </c>
      <c r="Q88" s="90">
        <f>IFERROR(Data!Q54/Data!Q26,"-")</f>
        <v/>
      </c>
      <c r="R88" s="90">
        <f>IFERROR(Data!R54/Data!R26,"-")</f>
        <v/>
      </c>
      <c r="S88" s="90">
        <f>IFERROR(Data!S54/Data!S26,"-")</f>
        <v/>
      </c>
      <c r="T88" s="90">
        <f>IFERROR(Data!T54/Data!T26,"-")</f>
        <v/>
      </c>
      <c r="U88" s="90">
        <f>IFERROR(Data!U54/Data!U26,"-")</f>
        <v/>
      </c>
    </row>
    <row r="89" ht="15" customHeight="1" s="74">
      <c r="A89" s="15" t="inlineStr">
        <is>
          <t>Buyback Yield</t>
        </is>
      </c>
      <c r="B89" s="89">
        <f>IFERROR(ABS(Data!B56)/(Data!B8*Data!B28),"-")</f>
        <v/>
      </c>
      <c r="C89" s="89">
        <f>IFERROR(ABS(Data!C56)/(Data!B8*Data!C28),"-")</f>
        <v/>
      </c>
      <c r="D89" s="89">
        <f>IFERROR(ABS(Data!D56)/(Data!B8*Data!D28),"-")</f>
        <v/>
      </c>
      <c r="E89" s="89">
        <f>IFERROR(ABS(Data!E56)/(Data!B8*Data!E28),"-")</f>
        <v/>
      </c>
      <c r="F89" s="89">
        <f>IFERROR(ABS(Data!F56)/(Data!B8*Data!F28),"-")</f>
        <v/>
      </c>
      <c r="G89" s="89">
        <f>IFERROR(ABS(Data!G56)/(Data!B8*Data!G28),"-")</f>
        <v/>
      </c>
      <c r="H89" s="89">
        <f>IFERROR(ABS(Data!H56)/(Data!B8*Data!H28),"-")</f>
        <v/>
      </c>
      <c r="I89" s="89">
        <f>IFERROR(ABS(Data!I56)/(Data!B8*Data!I28),"-")</f>
        <v/>
      </c>
      <c r="J89" s="89">
        <f>IFERROR(ABS(Data!J56)/(Data!B8*Data!J28),"-")</f>
        <v/>
      </c>
      <c r="K89" s="89">
        <f>IFERROR(ABS(Data!K56)/(Data!B8*Data!K28),"-")</f>
        <v/>
      </c>
      <c r="L89" s="89">
        <f>IFERROR(ABS(Data!L56)/(Data!B8*Data!L28),"-")</f>
        <v/>
      </c>
      <c r="N89" s="89">
        <f>IFERROR(ABS(Data!N56)/(Data!B8*Data!N28),"-")</f>
        <v/>
      </c>
      <c r="O89" s="89">
        <f>IFERROR(ABS(Data!O56)/(Data!B8*Data!O28),"-")</f>
        <v/>
      </c>
      <c r="P89" s="89">
        <f>IFERROR(ABS(Data!P56)/(Data!B8*Data!P28),"-")</f>
        <v/>
      </c>
      <c r="Q89" s="89">
        <f>IFERROR(ABS(Data!Q56)/(Data!B8*Data!Q28),"-")</f>
        <v/>
      </c>
      <c r="R89" s="89">
        <f>IFERROR(ABS(Data!R56)/(Data!B8*Data!R28),"-")</f>
        <v/>
      </c>
      <c r="S89" s="89">
        <f>IFERROR(ABS(Data!S56)/(Data!B8*Data!S28),"-")</f>
        <v/>
      </c>
      <c r="T89" s="89">
        <f>IFERROR(ABS(Data!T56)/(Data!B8*Data!T28),"-")</f>
        <v/>
      </c>
      <c r="U89" s="89">
        <f>IFERROR(ABS(Data!U56)/(Data!B8*Data!U28),"-")</f>
        <v/>
      </c>
    </row>
    <row r="90" ht="15" customHeight="1" s="74">
      <c r="A90" s="17" t="inlineStr">
        <is>
          <t>Total Shareholder Return Yield</t>
        </is>
      </c>
      <c r="B90" s="90">
        <f>IFERROR((ABS(Data!B55)+ABS(Data!B56))/(Data!B8*Data!B28),"-")</f>
        <v/>
      </c>
      <c r="C90" s="90">
        <f>IFERROR((ABS(Data!C55)+ABS(Data!C56))/(Data!B8*Data!C28),"-")</f>
        <v/>
      </c>
      <c r="D90" s="90">
        <f>IFERROR((ABS(Data!D55)+ABS(Data!D56))/(Data!B8*Data!D28),"-")</f>
        <v/>
      </c>
      <c r="E90" s="90">
        <f>IFERROR((ABS(Data!E55)+ABS(Data!E56))/(Data!B8*Data!E28),"-")</f>
        <v/>
      </c>
      <c r="F90" s="90">
        <f>IFERROR((ABS(Data!F55)+ABS(Data!F56))/(Data!B8*Data!F28),"-")</f>
        <v/>
      </c>
      <c r="G90" s="90">
        <f>IFERROR((ABS(Data!G55)+ABS(Data!G56))/(Data!B8*Data!G28),"-")</f>
        <v/>
      </c>
      <c r="H90" s="90">
        <f>IFERROR((ABS(Data!H55)+ABS(Data!H56))/(Data!B8*Data!H28),"-")</f>
        <v/>
      </c>
      <c r="I90" s="90">
        <f>IFERROR((ABS(Data!I55)+ABS(Data!I56))/(Data!B8*Data!I28),"-")</f>
        <v/>
      </c>
      <c r="J90" s="90">
        <f>IFERROR((ABS(Data!J55)+ABS(Data!J56))/(Data!B8*Data!J28),"-")</f>
        <v/>
      </c>
      <c r="K90" s="90">
        <f>IFERROR((ABS(Data!K55)+ABS(Data!K56))/(Data!B8*Data!K28),"-")</f>
        <v/>
      </c>
      <c r="L90" s="90">
        <f>IFERROR((ABS(Data!L55)+ABS(Data!L56))/(Data!B8*Data!L28),"-")</f>
        <v/>
      </c>
      <c r="N90" s="90">
        <f>IFERROR((ABS(Data!N55)+ABS(Data!N56))/(Data!B8*Data!N28),"-")</f>
        <v/>
      </c>
      <c r="O90" s="90">
        <f>IFERROR((ABS(Data!O55)+ABS(Data!O56))/(Data!B8*Data!O28),"-")</f>
        <v/>
      </c>
      <c r="P90" s="90">
        <f>IFERROR((ABS(Data!P55)+ABS(Data!P56))/(Data!B8*Data!P28),"-")</f>
        <v/>
      </c>
      <c r="Q90" s="90">
        <f>IFERROR((ABS(Data!Q55)+ABS(Data!Q56))/(Data!B8*Data!Q28),"-")</f>
        <v/>
      </c>
      <c r="R90" s="90">
        <f>IFERROR((ABS(Data!R55)+ABS(Data!R56))/(Data!B8*Data!R28),"-")</f>
        <v/>
      </c>
      <c r="S90" s="90">
        <f>IFERROR((ABS(Data!S55)+ABS(Data!S56))/(Data!B8*Data!S28),"-")</f>
        <v/>
      </c>
      <c r="T90" s="90">
        <f>IFERROR((ABS(Data!T55)+ABS(Data!T56))/(Data!B8*Data!T28),"-")</f>
        <v/>
      </c>
      <c r="U90" s="90">
        <f>IFERROR((ABS(Data!U55)+ABS(Data!U56))/(Data!B8*Data!U28),"-")</f>
        <v/>
      </c>
    </row>
    <row r="91" ht="15" customHeight="1" s="74">
      <c r="A91" s="17" t="inlineStr">
        <is>
          <t>Price / Tangible Book</t>
        </is>
      </c>
      <c r="B91" s="91">
        <f>IFERROR(Data!B8/((Data!B41-Data!B43)/Data!B28),"-")</f>
        <v/>
      </c>
      <c r="C91" s="91">
        <f>IFERROR(Data!B8/((Data!C41-Data!C43)/Data!C28),"-")</f>
        <v/>
      </c>
      <c r="D91" s="91">
        <f>IFERROR(Data!B8/((Data!D41-Data!D43)/Data!D28),"-")</f>
        <v/>
      </c>
      <c r="E91" s="91">
        <f>IFERROR(Data!B8/((Data!E41-Data!E43)/Data!E28),"-")</f>
        <v/>
      </c>
      <c r="F91" s="91">
        <f>IFERROR(Data!B8/((Data!F41-Data!F43)/Data!F28),"-")</f>
        <v/>
      </c>
      <c r="G91" s="91">
        <f>IFERROR(Data!B8/((Data!G41-Data!G43)/Data!G28),"-")</f>
        <v/>
      </c>
      <c r="H91" s="91">
        <f>IFERROR(Data!B8/((Data!H41-Data!H43)/Data!H28),"-")</f>
        <v/>
      </c>
      <c r="I91" s="91">
        <f>IFERROR(Data!B8/((Data!I41-Data!I43)/Data!I28),"-")</f>
        <v/>
      </c>
      <c r="J91" s="91">
        <f>IFERROR(Data!B8/((Data!J41-Data!J43)/Data!J28),"-")</f>
        <v/>
      </c>
      <c r="K91" s="91">
        <f>IFERROR(Data!B8/((Data!K41-Data!K43)/Data!K28),"-")</f>
        <v/>
      </c>
      <c r="L91" s="91">
        <f>IFERROR(Data!B8/((Data!L41-Data!L43)/Data!L28),"-")</f>
        <v/>
      </c>
      <c r="N91" s="91">
        <f>IFERROR(Data!B8/((Data!N41-Data!N43)/Data!N28),"-")</f>
        <v/>
      </c>
      <c r="O91" s="91">
        <f>IFERROR(Data!B8/((Data!O41-Data!O43)/Data!O28),"-")</f>
        <v/>
      </c>
      <c r="P91" s="91">
        <f>IFERROR(Data!B8/((Data!P41-Data!P43)/Data!P28),"-")</f>
        <v/>
      </c>
      <c r="Q91" s="91">
        <f>IFERROR(Data!B8/((Data!Q41-Data!Q43)/Data!Q28),"-")</f>
        <v/>
      </c>
      <c r="R91" s="91">
        <f>IFERROR(Data!B8/((Data!R41-Data!R43)/Data!R28),"-")</f>
        <v/>
      </c>
      <c r="S91" s="91">
        <f>IFERROR(Data!B8/((Data!S41-Data!S43)/Data!S28),"-")</f>
        <v/>
      </c>
      <c r="T91" s="91">
        <f>IFERROR(Data!B8/((Data!T41-Data!T43)/Data!T28),"-")</f>
        <v/>
      </c>
      <c r="U91" s="91">
        <f>IFERROR(Data!B8/((Data!U41-Data!U43)/Data!U28),"-")</f>
        <v/>
      </c>
    </row>
    <row r="92" ht="15" customHeight="1" s="74">
      <c r="A92" s="10" t="n"/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  <c r="K92" s="10" t="n"/>
      <c r="L92" s="10" t="n"/>
      <c r="N92" s="10" t="n"/>
      <c r="O92" s="10" t="n"/>
      <c r="P92" s="10" t="n"/>
      <c r="Q92" s="10" t="n"/>
      <c r="R92" s="10" t="n"/>
      <c r="S92" s="10" t="n"/>
      <c r="T92" s="10" t="n"/>
      <c r="U92" s="10" t="n"/>
    </row>
    <row r="93" ht="15" customHeight="1" s="74">
      <c r="A93" s="30" t="inlineStr">
        <is>
          <t>VALUATION MULTIPLES (at current price)</t>
        </is>
      </c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N93" s="2" t="n"/>
      <c r="O93" s="2" t="n"/>
      <c r="P93" s="2" t="n"/>
      <c r="Q93" s="2" t="n"/>
      <c r="R93" s="2" t="n"/>
      <c r="S93" s="2" t="n"/>
      <c r="T93" s="2" t="n"/>
      <c r="U93" s="2" t="n"/>
    </row>
    <row r="94" ht="15" customHeight="1" s="74">
      <c r="A94" s="14" t="inlineStr">
        <is>
          <t>Period</t>
        </is>
      </c>
      <c r="B94" s="14">
        <f>Data!B13</f>
        <v/>
      </c>
      <c r="C94" s="14">
        <f>Data!C13</f>
        <v/>
      </c>
      <c r="D94" s="14">
        <f>Data!D13</f>
        <v/>
      </c>
      <c r="E94" s="14">
        <f>Data!E13</f>
        <v/>
      </c>
      <c r="F94" s="14">
        <f>Data!F13</f>
        <v/>
      </c>
      <c r="G94" s="14">
        <f>Data!G13</f>
        <v/>
      </c>
      <c r="H94" s="14">
        <f>Data!H13</f>
        <v/>
      </c>
      <c r="I94" s="14">
        <f>Data!I13</f>
        <v/>
      </c>
      <c r="J94" s="14">
        <f>Data!J13</f>
        <v/>
      </c>
      <c r="K94" s="14">
        <f>Data!K13</f>
        <v/>
      </c>
      <c r="L94" s="14">
        <f>Data!L13</f>
        <v/>
      </c>
      <c r="N94" s="14">
        <f>Data!N13</f>
        <v/>
      </c>
      <c r="O94" s="14">
        <f>Data!O13</f>
        <v/>
      </c>
      <c r="P94" s="14">
        <f>Data!P13</f>
        <v/>
      </c>
      <c r="Q94" s="14">
        <f>Data!Q13</f>
        <v/>
      </c>
      <c r="R94" s="14">
        <f>Data!R13</f>
        <v/>
      </c>
      <c r="S94" s="14">
        <f>Data!S13</f>
        <v/>
      </c>
      <c r="T94" s="14">
        <f>Data!T13</f>
        <v/>
      </c>
      <c r="U94" s="14">
        <f>Data!U13</f>
        <v/>
      </c>
    </row>
    <row r="95" ht="15" customHeight="1" s="74">
      <c r="A95" s="17" t="inlineStr">
        <is>
          <t>P/E</t>
        </is>
      </c>
      <c r="B95" s="91">
        <f>IFERROR(Data!B8/Data!B27,"-")</f>
        <v/>
      </c>
      <c r="C95" s="91">
        <f>IFERROR(Data!B8/Data!C27,"-")</f>
        <v/>
      </c>
      <c r="D95" s="91">
        <f>IFERROR(Data!B8/Data!D27,"-")</f>
        <v/>
      </c>
      <c r="E95" s="91">
        <f>IFERROR(Data!B8/Data!E27,"-")</f>
        <v/>
      </c>
      <c r="F95" s="91">
        <f>IFERROR(Data!B8/Data!F27,"-")</f>
        <v/>
      </c>
      <c r="G95" s="91">
        <f>IFERROR(Data!B8/Data!G27,"-")</f>
        <v/>
      </c>
      <c r="H95" s="91">
        <f>IFERROR(Data!B8/Data!H27,"-")</f>
        <v/>
      </c>
      <c r="I95" s="91">
        <f>IFERROR(Data!B8/Data!I27,"-")</f>
        <v/>
      </c>
      <c r="J95" s="91">
        <f>IFERROR(Data!B8/Data!J27,"-")</f>
        <v/>
      </c>
      <c r="K95" s="91">
        <f>IFERROR(Data!B8/Data!K27,"-")</f>
        <v/>
      </c>
      <c r="L95" s="91">
        <f>IFERROR(Data!B8/Data!L27,"-")</f>
        <v/>
      </c>
      <c r="N95" s="91">
        <f>IFERROR(Data!B8/Data!N27,"-")</f>
        <v/>
      </c>
      <c r="O95" s="91">
        <f>IFERROR(Data!B8/Data!O27,"-")</f>
        <v/>
      </c>
      <c r="P95" s="91">
        <f>IFERROR(Data!B8/Data!P27,"-")</f>
        <v/>
      </c>
      <c r="Q95" s="91">
        <f>IFERROR(Data!B8/Data!Q27,"-")</f>
        <v/>
      </c>
      <c r="R95" s="91">
        <f>IFERROR(Data!B8/Data!R27,"-")</f>
        <v/>
      </c>
      <c r="S95" s="91">
        <f>IFERROR(Data!B8/Data!S27,"-")</f>
        <v/>
      </c>
      <c r="T95" s="91">
        <f>IFERROR(Data!B8/Data!T27,"-")</f>
        <v/>
      </c>
      <c r="U95" s="91">
        <f>IFERROR(Data!B8/Data!U27,"-")</f>
        <v/>
      </c>
    </row>
    <row r="96" ht="15" customHeight="1" s="74">
      <c r="A96" s="15" t="inlineStr">
        <is>
          <t>P/S</t>
        </is>
      </c>
      <c r="B96" s="92">
        <f>IFERROR(Data!B8/(Data!B14/Data!B28),"-")</f>
        <v/>
      </c>
      <c r="C96" s="92">
        <f>IFERROR(Data!B8/(Data!C14/Data!C28),"-")</f>
        <v/>
      </c>
      <c r="D96" s="92">
        <f>IFERROR(Data!B8/(Data!D14/Data!D28),"-")</f>
        <v/>
      </c>
      <c r="E96" s="92">
        <f>IFERROR(Data!B8/(Data!E14/Data!E28),"-")</f>
        <v/>
      </c>
      <c r="F96" s="92">
        <f>IFERROR(Data!B8/(Data!F14/Data!F28),"-")</f>
        <v/>
      </c>
      <c r="G96" s="92">
        <f>IFERROR(Data!B8/(Data!G14/Data!G28),"-")</f>
        <v/>
      </c>
      <c r="H96" s="92">
        <f>IFERROR(Data!B8/(Data!H14/Data!H28),"-")</f>
        <v/>
      </c>
      <c r="I96" s="92">
        <f>IFERROR(Data!B8/(Data!I14/Data!I28),"-")</f>
        <v/>
      </c>
      <c r="J96" s="92">
        <f>IFERROR(Data!B8/(Data!J14/Data!J28),"-")</f>
        <v/>
      </c>
      <c r="K96" s="92">
        <f>IFERROR(Data!B8/(Data!K14/Data!K28),"-")</f>
        <v/>
      </c>
      <c r="L96" s="92">
        <f>IFERROR(Data!B8/(Data!L14/Data!L28),"-")</f>
        <v/>
      </c>
      <c r="N96" s="92">
        <f>IFERROR(Data!B8/(Data!N14/Data!N28),"-")</f>
        <v/>
      </c>
      <c r="O96" s="92">
        <f>IFERROR(Data!B8/(Data!O14/Data!O28),"-")</f>
        <v/>
      </c>
      <c r="P96" s="92">
        <f>IFERROR(Data!B8/(Data!P14/Data!P28),"-")</f>
        <v/>
      </c>
      <c r="Q96" s="92">
        <f>IFERROR(Data!B8/(Data!Q14/Data!Q28),"-")</f>
        <v/>
      </c>
      <c r="R96" s="92">
        <f>IFERROR(Data!B8/(Data!R14/Data!R28),"-")</f>
        <v/>
      </c>
      <c r="S96" s="92">
        <f>IFERROR(Data!B8/(Data!S14/Data!S28),"-")</f>
        <v/>
      </c>
      <c r="T96" s="92">
        <f>IFERROR(Data!B8/(Data!T14/Data!T28),"-")</f>
        <v/>
      </c>
      <c r="U96" s="92">
        <f>IFERROR(Data!B8/(Data!U14/Data!U28),"-")</f>
        <v/>
      </c>
    </row>
    <row r="97" ht="15" customHeight="1" s="74">
      <c r="A97" s="17" t="inlineStr">
        <is>
          <t>P/B</t>
        </is>
      </c>
      <c r="B97" s="2">
        <f>IFERROR(Data!B8/(Data!B41/Data!B28),"-")</f>
        <v/>
      </c>
      <c r="C97" s="2">
        <f>IFERROR(Data!B8/(Data!C41/Data!C28),"-")</f>
        <v/>
      </c>
      <c r="D97" s="2">
        <f>IFERROR(Data!B8/(Data!D41/Data!D28),"-")</f>
        <v/>
      </c>
      <c r="E97" s="2">
        <f>IFERROR(Data!B8/(Data!E41/Data!E28),"-")</f>
        <v/>
      </c>
      <c r="F97" s="2">
        <f>IFERROR(Data!B8/(Data!F41/Data!F28),"-")</f>
        <v/>
      </c>
      <c r="G97" s="2">
        <f>IFERROR(Data!B8/(Data!G41/Data!G28),"-")</f>
        <v/>
      </c>
      <c r="H97" s="2">
        <f>IFERROR(Data!B8/(Data!H41/Data!H28),"-")</f>
        <v/>
      </c>
      <c r="I97" s="2">
        <f>IFERROR(Data!B8/(Data!I41/Data!I28),"-")</f>
        <v/>
      </c>
      <c r="J97" s="2">
        <f>IFERROR(Data!B8/(Data!J41/Data!J28),"-")</f>
        <v/>
      </c>
      <c r="K97" s="2">
        <f>IFERROR(Data!B8/(Data!K41/Data!K28),"-")</f>
        <v/>
      </c>
      <c r="L97" s="2">
        <f>IFERROR(Data!B8/(Data!L41/Data!L28),"-")</f>
        <v/>
      </c>
      <c r="N97" s="2">
        <f>IFERROR(Data!B8/(Data!N41/Data!N28),"-")</f>
        <v/>
      </c>
      <c r="O97" s="2">
        <f>IFERROR(Data!B8/(Data!O41/Data!O28),"-")</f>
        <v/>
      </c>
      <c r="P97" s="2">
        <f>IFERROR(Data!B8/(Data!P41/Data!P28),"-")</f>
        <v/>
      </c>
      <c r="Q97" s="2">
        <f>IFERROR(Data!B8/(Data!Q41/Data!Q28),"-")</f>
        <v/>
      </c>
      <c r="R97" s="2">
        <f>IFERROR(Data!B8/(Data!R41/Data!R28),"-")</f>
        <v/>
      </c>
      <c r="S97" s="2">
        <f>IFERROR(Data!B8/(Data!S41/Data!S28),"-")</f>
        <v/>
      </c>
      <c r="T97" s="2">
        <f>IFERROR(Data!B8/(Data!T41/Data!T28),"-")</f>
        <v/>
      </c>
      <c r="U97" s="2">
        <f>IFERROR(Data!B8/(Data!U41/Data!U28),"-")</f>
        <v/>
      </c>
    </row>
    <row r="98" ht="15" customHeight="1" s="74">
      <c r="A98" s="15" t="inlineStr">
        <is>
          <t>P/FCF</t>
        </is>
      </c>
      <c r="B98" s="92">
        <f>IFERROR(Data!B8/(Data!B53/Data!B28),"-")</f>
        <v/>
      </c>
      <c r="C98" s="92">
        <f>IFERROR(Data!B8/(Data!C53/Data!C28),"-")</f>
        <v/>
      </c>
      <c r="D98" s="92">
        <f>IFERROR(Data!B8/(Data!D53/Data!D28),"-")</f>
        <v/>
      </c>
      <c r="E98" s="92">
        <f>IFERROR(Data!B8/(Data!E53/Data!E28),"-")</f>
        <v/>
      </c>
      <c r="F98" s="92">
        <f>IFERROR(Data!B8/(Data!F53/Data!F28),"-")</f>
        <v/>
      </c>
      <c r="G98" s="92">
        <f>IFERROR(Data!B8/(Data!G53/Data!G28),"-")</f>
        <v/>
      </c>
      <c r="H98" s="92">
        <f>IFERROR(Data!B8/(Data!H53/Data!H28),"-")</f>
        <v/>
      </c>
      <c r="I98" s="92">
        <f>IFERROR(Data!B8/(Data!I53/Data!I28),"-")</f>
        <v/>
      </c>
      <c r="J98" s="92">
        <f>IFERROR(Data!B8/(Data!J53/Data!J28),"-")</f>
        <v/>
      </c>
      <c r="K98" s="92">
        <f>IFERROR(Data!B8/(Data!K53/Data!K28),"-")</f>
        <v/>
      </c>
      <c r="L98" s="92">
        <f>IFERROR(Data!B8/(Data!L53/Data!L28),"-")</f>
        <v/>
      </c>
      <c r="N98" s="92">
        <f>IFERROR(Data!B8/(Data!N53/Data!N28),"-")</f>
        <v/>
      </c>
      <c r="O98" s="92">
        <f>IFERROR(Data!B8/(Data!O53/Data!O28),"-")</f>
        <v/>
      </c>
      <c r="P98" s="92">
        <f>IFERROR(Data!B8/(Data!P53/Data!P28),"-")</f>
        <v/>
      </c>
      <c r="Q98" s="92">
        <f>IFERROR(Data!B8/(Data!Q53/Data!Q28),"-")</f>
        <v/>
      </c>
      <c r="R98" s="92">
        <f>IFERROR(Data!B8/(Data!R53/Data!R28),"-")</f>
        <v/>
      </c>
      <c r="S98" s="92">
        <f>IFERROR(Data!B8/(Data!S53/Data!S28),"-")</f>
        <v/>
      </c>
      <c r="T98" s="92">
        <f>IFERROR(Data!B8/(Data!T53/Data!T28),"-")</f>
        <v/>
      </c>
      <c r="U98" s="92">
        <f>IFERROR(Data!B8/(Data!U53/Data!U28),"-")</f>
        <v/>
      </c>
    </row>
    <row r="99" ht="15" customHeight="1" s="74">
      <c r="A99" s="17" t="inlineStr">
        <is>
          <t>EV/EBITDA</t>
        </is>
      </c>
      <c r="B99" s="91">
        <f>IFERROR((Data!B8*Data!B28+Data!B36+Data!B42)/Data!B20,"-")</f>
        <v/>
      </c>
      <c r="C99" s="91">
        <f>IFERROR((Data!B8*Data!C28+Data!C36+Data!C42)/Data!C20,"-")</f>
        <v/>
      </c>
      <c r="D99" s="91">
        <f>IFERROR((Data!B8*Data!D28+Data!D36+Data!D42)/Data!D20,"-")</f>
        <v/>
      </c>
      <c r="E99" s="91">
        <f>IFERROR((Data!B8*Data!E28+Data!E36+Data!E42)/Data!E20,"-")</f>
        <v/>
      </c>
      <c r="F99" s="91">
        <f>IFERROR((Data!B8*Data!F28+Data!F36+Data!F42)/Data!F20,"-")</f>
        <v/>
      </c>
      <c r="G99" s="91">
        <f>IFERROR((Data!B8*Data!G28+Data!G36+Data!G42)/Data!G20,"-")</f>
        <v/>
      </c>
      <c r="H99" s="91">
        <f>IFERROR((Data!B8*Data!H28+Data!H36+Data!H42)/Data!H20,"-")</f>
        <v/>
      </c>
      <c r="I99" s="91">
        <f>IFERROR((Data!B8*Data!I28+Data!I36+Data!I42)/Data!I20,"-")</f>
        <v/>
      </c>
      <c r="J99" s="91">
        <f>IFERROR((Data!B8*Data!J28+Data!J36+Data!J42)/Data!J20,"-")</f>
        <v/>
      </c>
      <c r="K99" s="91">
        <f>IFERROR((Data!B8*Data!K28+Data!K36+Data!K42)/Data!K20,"-")</f>
        <v/>
      </c>
      <c r="L99" s="91">
        <f>IFERROR((Data!B8*Data!L28+Data!L36+Data!L42)/Data!L20,"-")</f>
        <v/>
      </c>
      <c r="N99" s="91">
        <f>IFERROR((Data!B8*Data!N28+Data!N36+Data!N42)/Data!N20,"-")</f>
        <v/>
      </c>
      <c r="O99" s="91">
        <f>IFERROR((Data!B8*Data!O28+Data!O36+Data!O42)/Data!O20,"-")</f>
        <v/>
      </c>
      <c r="P99" s="91">
        <f>IFERROR((Data!B8*Data!P28+Data!P36+Data!P42)/Data!P20,"-")</f>
        <v/>
      </c>
      <c r="Q99" s="91">
        <f>IFERROR((Data!B8*Data!Q28+Data!Q36+Data!Q42)/Data!Q20,"-")</f>
        <v/>
      </c>
      <c r="R99" s="91">
        <f>IFERROR((Data!B8*Data!R28+Data!R36+Data!R42)/Data!R20,"-")</f>
        <v/>
      </c>
      <c r="S99" s="91">
        <f>IFERROR((Data!B8*Data!S28+Data!S36+Data!S42)/Data!S20,"-")</f>
        <v/>
      </c>
      <c r="T99" s="91">
        <f>IFERROR((Data!B8*Data!T28+Data!T36+Data!T42)/Data!T20,"-")</f>
        <v/>
      </c>
      <c r="U99" s="91">
        <f>IFERROR((Data!B8*Data!U28+Data!U36+Data!U42)/Data!U20,"-")</f>
        <v/>
      </c>
    </row>
    <row r="100" ht="15" customHeight="1" s="74">
      <c r="A100" s="15" t="inlineStr">
        <is>
          <t>EV/EBIT</t>
        </is>
      </c>
      <c r="B100" s="92">
        <f>IFERROR((Data!B8*Data!B28+Data!B36+Data!B42)/Data!B22,"-")</f>
        <v/>
      </c>
      <c r="C100" s="92">
        <f>IFERROR((Data!B8*Data!C28+Data!C36+Data!C42)/Data!C22,"-")</f>
        <v/>
      </c>
      <c r="D100" s="92">
        <f>IFERROR((Data!B8*Data!D28+Data!D36+Data!D42)/Data!D22,"-")</f>
        <v/>
      </c>
      <c r="E100" s="92">
        <f>IFERROR((Data!B8*Data!E28+Data!E36+Data!E42)/Data!E22,"-")</f>
        <v/>
      </c>
      <c r="F100" s="92">
        <f>IFERROR((Data!B8*Data!F28+Data!F36+Data!F42)/Data!F22,"-")</f>
        <v/>
      </c>
      <c r="G100" s="92">
        <f>IFERROR((Data!B8*Data!G28+Data!G36+Data!G42)/Data!G22,"-")</f>
        <v/>
      </c>
      <c r="H100" s="92">
        <f>IFERROR((Data!B8*Data!H28+Data!H36+Data!H42)/Data!H22,"-")</f>
        <v/>
      </c>
      <c r="I100" s="92">
        <f>IFERROR((Data!B8*Data!I28+Data!I36+Data!I42)/Data!I22,"-")</f>
        <v/>
      </c>
      <c r="J100" s="92">
        <f>IFERROR((Data!B8*Data!J28+Data!J36+Data!J42)/Data!J22,"-")</f>
        <v/>
      </c>
      <c r="K100" s="92">
        <f>IFERROR((Data!B8*Data!K28+Data!K36+Data!K42)/Data!K22,"-")</f>
        <v/>
      </c>
      <c r="L100" s="92">
        <f>IFERROR((Data!B8*Data!L28+Data!L36+Data!L42)/Data!L22,"-")</f>
        <v/>
      </c>
      <c r="N100" s="92">
        <f>IFERROR((Data!B8*Data!N28+Data!N36+Data!N42)/Data!N22,"-")</f>
        <v/>
      </c>
      <c r="O100" s="92">
        <f>IFERROR((Data!B8*Data!O28+Data!O36+Data!O42)/Data!O22,"-")</f>
        <v/>
      </c>
      <c r="P100" s="92">
        <f>IFERROR((Data!B8*Data!P28+Data!P36+Data!P42)/Data!P22,"-")</f>
        <v/>
      </c>
      <c r="Q100" s="92">
        <f>IFERROR((Data!B8*Data!Q28+Data!Q36+Data!Q42)/Data!Q22,"-")</f>
        <v/>
      </c>
      <c r="R100" s="92">
        <f>IFERROR((Data!B8*Data!R28+Data!R36+Data!R42)/Data!R22,"-")</f>
        <v/>
      </c>
      <c r="S100" s="92">
        <f>IFERROR((Data!B8*Data!S28+Data!S36+Data!S42)/Data!S22,"-")</f>
        <v/>
      </c>
      <c r="T100" s="92">
        <f>IFERROR((Data!B8*Data!T28+Data!T36+Data!T42)/Data!T22,"-")</f>
        <v/>
      </c>
      <c r="U100" s="92">
        <f>IFERROR((Data!B8*Data!U28+Data!U36+Data!U42)/Data!U22,"-")</f>
        <v/>
      </c>
    </row>
    <row r="101" ht="15" customHeight="1" s="74">
      <c r="A101" s="17" t="inlineStr">
        <is>
          <t>FCF Yield</t>
        </is>
      </c>
      <c r="B101" s="90">
        <f>IFERROR(Data!B53/(Data!B8*Data!B28),"-")</f>
        <v/>
      </c>
      <c r="C101" s="90">
        <f>IFERROR(Data!C53/(Data!B8*Data!C28),"-")</f>
        <v/>
      </c>
      <c r="D101" s="90">
        <f>IFERROR(Data!D53/(Data!B8*Data!D28),"-")</f>
        <v/>
      </c>
      <c r="E101" s="90">
        <f>IFERROR(Data!E53/(Data!B8*Data!E28),"-")</f>
        <v/>
      </c>
      <c r="F101" s="90">
        <f>IFERROR(Data!F53/(Data!B8*Data!F28),"-")</f>
        <v/>
      </c>
      <c r="G101" s="90">
        <f>IFERROR(Data!G53/(Data!B8*Data!G28),"-")</f>
        <v/>
      </c>
      <c r="H101" s="90">
        <f>IFERROR(Data!H53/(Data!B8*Data!H28),"-")</f>
        <v/>
      </c>
      <c r="I101" s="90">
        <f>IFERROR(Data!I53/(Data!B8*Data!I28),"-")</f>
        <v/>
      </c>
      <c r="J101" s="90">
        <f>IFERROR(Data!J53/(Data!B8*Data!J28),"-")</f>
        <v/>
      </c>
      <c r="K101" s="90">
        <f>IFERROR(Data!K53/(Data!B8*Data!K28),"-")</f>
        <v/>
      </c>
      <c r="L101" s="90">
        <f>IFERROR(Data!L53/(Data!B8*Data!L28),"-")</f>
        <v/>
      </c>
      <c r="N101" s="90">
        <f>IFERROR(Data!N53/(Data!B8*Data!N28),"-")</f>
        <v/>
      </c>
      <c r="O101" s="90">
        <f>IFERROR(Data!O53/(Data!B8*Data!O28),"-")</f>
        <v/>
      </c>
      <c r="P101" s="90">
        <f>IFERROR(Data!P53/(Data!B8*Data!P28),"-")</f>
        <v/>
      </c>
      <c r="Q101" s="90">
        <f>IFERROR(Data!Q53/(Data!B8*Data!Q28),"-")</f>
        <v/>
      </c>
      <c r="R101" s="90">
        <f>IFERROR(Data!R53/(Data!B8*Data!R28),"-")</f>
        <v/>
      </c>
      <c r="S101" s="90">
        <f>IFERROR(Data!S53/(Data!B8*Data!S28),"-")</f>
        <v/>
      </c>
      <c r="T101" s="90">
        <f>IFERROR(Data!T53/(Data!B8*Data!T28),"-")</f>
        <v/>
      </c>
      <c r="U101" s="90">
        <f>IFERROR(Data!U53/(Data!B8*Data!U28),"-")</f>
        <v/>
      </c>
    </row>
    <row r="102" ht="15" customHeight="1" s="74">
      <c r="A102" s="15" t="inlineStr">
        <is>
          <t>Earnings Yield</t>
        </is>
      </c>
      <c r="B102" s="89">
        <f>IFERROR(Data!B26/(Data!B8*Data!B28),"-")</f>
        <v/>
      </c>
      <c r="C102" s="89">
        <f>IFERROR(Data!C26/(Data!B8*Data!C28),"-")</f>
        <v/>
      </c>
      <c r="D102" s="89">
        <f>IFERROR(Data!D26/(Data!B8*Data!D28),"-")</f>
        <v/>
      </c>
      <c r="E102" s="89">
        <f>IFERROR(Data!E26/(Data!B8*Data!E28),"-")</f>
        <v/>
      </c>
      <c r="F102" s="89">
        <f>IFERROR(Data!F26/(Data!B8*Data!F28),"-")</f>
        <v/>
      </c>
      <c r="G102" s="89">
        <f>IFERROR(Data!G26/(Data!B8*Data!G28),"-")</f>
        <v/>
      </c>
      <c r="H102" s="89">
        <f>IFERROR(Data!H26/(Data!B8*Data!H28),"-")</f>
        <v/>
      </c>
      <c r="I102" s="89">
        <f>IFERROR(Data!I26/(Data!B8*Data!I28),"-")</f>
        <v/>
      </c>
      <c r="J102" s="89">
        <f>IFERROR(Data!J26/(Data!B8*Data!J28),"-")</f>
        <v/>
      </c>
      <c r="K102" s="89">
        <f>IFERROR(Data!K26/(Data!B8*Data!K28),"-")</f>
        <v/>
      </c>
      <c r="L102" s="89">
        <f>IFERROR(Data!L26/(Data!B8*Data!L28),"-")</f>
        <v/>
      </c>
      <c r="N102" s="89">
        <f>IFERROR(Data!N26/(Data!B8*Data!N28),"-")</f>
        <v/>
      </c>
      <c r="O102" s="89">
        <f>IFERROR(Data!O26/(Data!B8*Data!O28),"-")</f>
        <v/>
      </c>
      <c r="P102" s="89">
        <f>IFERROR(Data!P26/(Data!B8*Data!P28),"-")</f>
        <v/>
      </c>
      <c r="Q102" s="89">
        <f>IFERROR(Data!Q26/(Data!B8*Data!Q28),"-")</f>
        <v/>
      </c>
      <c r="R102" s="89">
        <f>IFERROR(Data!R26/(Data!B8*Data!R28),"-")</f>
        <v/>
      </c>
      <c r="S102" s="89">
        <f>IFERROR(Data!S26/(Data!B8*Data!S28),"-")</f>
        <v/>
      </c>
      <c r="T102" s="89">
        <f>IFERROR(Data!T26/(Data!B8*Data!T28),"-")</f>
        <v/>
      </c>
      <c r="U102" s="89">
        <f>IFERROR(Data!U26/(Data!B8*Data!U28),"-")</f>
        <v/>
      </c>
    </row>
    <row r="103" ht="15" customHeight="1" s="74">
      <c r="A103" s="17" t="inlineStr">
        <is>
          <t>PEG Ratio (3Y / 5Y / 10Y EPS CAGR)</t>
        </is>
      </c>
      <c r="B103" s="2">
        <f>IFERROR(L95/(B156*100),"-")</f>
        <v/>
      </c>
      <c r="C103" s="2">
        <f>IFERROR(L95/(C156*100),"-")</f>
        <v/>
      </c>
      <c r="D103" s="2">
        <f>IFERROR(L95/(D156*100),"-")</f>
        <v/>
      </c>
      <c r="E103" s="2" t="n"/>
      <c r="F103" s="2" t="n"/>
      <c r="G103" s="2" t="n"/>
      <c r="H103" s="2" t="n"/>
      <c r="I103" s="2" t="n"/>
      <c r="J103" s="2" t="n"/>
      <c r="K103" s="2" t="n"/>
      <c r="L103" s="2" t="n"/>
      <c r="N103" s="2" t="n"/>
      <c r="O103" s="2" t="n"/>
      <c r="P103" s="2" t="n"/>
      <c r="Q103" s="2" t="n"/>
      <c r="R103" s="2" t="n"/>
      <c r="S103" s="2" t="n"/>
      <c r="T103" s="2" t="n"/>
      <c r="U103" s="2" t="n"/>
    </row>
    <row r="104" ht="15" customHeight="1" s="74">
      <c r="A104" s="10" t="n"/>
      <c r="B104" s="10" t="n"/>
      <c r="C104" s="10" t="n"/>
      <c r="D104" s="10" t="n"/>
      <c r="E104" s="10" t="n"/>
      <c r="F104" s="10" t="n"/>
      <c r="G104" s="10" t="n"/>
      <c r="H104" s="10" t="n"/>
      <c r="I104" s="10" t="n"/>
      <c r="J104" s="10" t="n"/>
      <c r="K104" s="10" t="n"/>
      <c r="L104" s="10" t="n"/>
      <c r="N104" s="10" t="n"/>
      <c r="O104" s="10" t="n"/>
      <c r="P104" s="10" t="n"/>
      <c r="Q104" s="10" t="n"/>
      <c r="R104" s="10" t="n"/>
      <c r="S104" s="10" t="n"/>
      <c r="T104" s="10" t="n"/>
      <c r="U104" s="10" t="n"/>
    </row>
    <row r="105" ht="15" customHeight="1" s="74">
      <c r="A105" s="30" t="inlineStr">
        <is>
          <t>ALTMAN Z-SCORE</t>
        </is>
      </c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N105" s="2" t="n"/>
      <c r="O105" s="2" t="n"/>
      <c r="P105" s="2" t="n"/>
      <c r="Q105" s="2" t="n"/>
      <c r="R105" s="2" t="n"/>
      <c r="S105" s="2" t="n"/>
      <c r="T105" s="2" t="n"/>
      <c r="U105" s="2" t="n"/>
    </row>
    <row r="106" ht="15" customHeight="1" s="74">
      <c r="A106" s="14" t="inlineStr">
        <is>
          <t>Period</t>
        </is>
      </c>
      <c r="B106" s="14">
        <f>Data!B13</f>
        <v/>
      </c>
      <c r="C106" s="14">
        <f>Data!C13</f>
        <v/>
      </c>
      <c r="D106" s="14">
        <f>Data!D13</f>
        <v/>
      </c>
      <c r="E106" s="14">
        <f>Data!E13</f>
        <v/>
      </c>
      <c r="F106" s="14">
        <f>Data!F13</f>
        <v/>
      </c>
      <c r="G106" s="14">
        <f>Data!G13</f>
        <v/>
      </c>
      <c r="H106" s="14">
        <f>Data!H13</f>
        <v/>
      </c>
      <c r="I106" s="14">
        <f>Data!I13</f>
        <v/>
      </c>
      <c r="J106" s="14">
        <f>Data!J13</f>
        <v/>
      </c>
      <c r="K106" s="14">
        <f>Data!K13</f>
        <v/>
      </c>
      <c r="L106" s="14">
        <f>Data!L13</f>
        <v/>
      </c>
      <c r="N106" s="14">
        <f>Data!N13</f>
        <v/>
      </c>
      <c r="O106" s="14">
        <f>Data!O13</f>
        <v/>
      </c>
      <c r="P106" s="14">
        <f>Data!P13</f>
        <v/>
      </c>
      <c r="Q106" s="14">
        <f>Data!Q13</f>
        <v/>
      </c>
      <c r="R106" s="14">
        <f>Data!R13</f>
        <v/>
      </c>
      <c r="S106" s="14">
        <f>Data!S13</f>
        <v/>
      </c>
      <c r="T106" s="14">
        <f>Data!T13</f>
        <v/>
      </c>
      <c r="U106" s="14">
        <f>Data!U13</f>
        <v/>
      </c>
    </row>
    <row r="107" ht="15" customHeight="1" s="74">
      <c r="A107" s="17" t="inlineStr">
        <is>
          <t>X1: Working Capital / TA</t>
        </is>
      </c>
      <c r="B107" s="93">
        <f>IFERROR((Data!B37-Data!B38)/Data!B39,"-")</f>
        <v/>
      </c>
      <c r="C107" s="93">
        <f>IFERROR((Data!C37-Data!C38)/Data!C39,"-")</f>
        <v/>
      </c>
      <c r="D107" s="93">
        <f>IFERROR((Data!D37-Data!D38)/Data!D39,"-")</f>
        <v/>
      </c>
      <c r="E107" s="93">
        <f>IFERROR((Data!E37-Data!E38)/Data!E39,"-")</f>
        <v/>
      </c>
      <c r="F107" s="93">
        <f>IFERROR((Data!F37-Data!F38)/Data!F39,"-")</f>
        <v/>
      </c>
      <c r="G107" s="93">
        <f>IFERROR((Data!G37-Data!G38)/Data!G39,"-")</f>
        <v/>
      </c>
      <c r="H107" s="93">
        <f>IFERROR((Data!H37-Data!H38)/Data!H39,"-")</f>
        <v/>
      </c>
      <c r="I107" s="93">
        <f>IFERROR((Data!I37-Data!I38)/Data!I39,"-")</f>
        <v/>
      </c>
      <c r="J107" s="93">
        <f>IFERROR((Data!J37-Data!J38)/Data!J39,"-")</f>
        <v/>
      </c>
      <c r="K107" s="93">
        <f>IFERROR((Data!K37-Data!K38)/Data!K39,"-")</f>
        <v/>
      </c>
      <c r="L107" s="93">
        <f>IFERROR((Data!L37-Data!L38)/Data!L39,"-")</f>
        <v/>
      </c>
      <c r="N107" s="93">
        <f>IFERROR((Data!N37-Data!N38)/Data!N39,"-")</f>
        <v/>
      </c>
      <c r="O107" s="93">
        <f>IFERROR((Data!O37-Data!O38)/Data!O39,"-")</f>
        <v/>
      </c>
      <c r="P107" s="93">
        <f>IFERROR((Data!P37-Data!P38)/Data!P39,"-")</f>
        <v/>
      </c>
      <c r="Q107" s="93">
        <f>IFERROR((Data!Q37-Data!Q38)/Data!Q39,"-")</f>
        <v/>
      </c>
      <c r="R107" s="93">
        <f>IFERROR((Data!R37-Data!R38)/Data!R39,"-")</f>
        <v/>
      </c>
      <c r="S107" s="93">
        <f>IFERROR((Data!S37-Data!S38)/Data!S39,"-")</f>
        <v/>
      </c>
      <c r="T107" s="93">
        <f>IFERROR((Data!T37-Data!T38)/Data!T39,"-")</f>
        <v/>
      </c>
      <c r="U107" s="93">
        <f>IFERROR((Data!U37-Data!U38)/Data!U39,"-")</f>
        <v/>
      </c>
    </row>
    <row r="108" ht="15" customHeight="1" s="74">
      <c r="A108" s="15" t="inlineStr">
        <is>
          <t>X2: Retained Earnings / TA</t>
        </is>
      </c>
      <c r="B108" s="83">
        <f>IFERROR(Data!B48/Data!B39,"-")</f>
        <v/>
      </c>
      <c r="C108" s="83">
        <f>IFERROR(Data!C48/Data!C39,"-")</f>
        <v/>
      </c>
      <c r="D108" s="83">
        <f>IFERROR(Data!D48/Data!D39,"-")</f>
        <v/>
      </c>
      <c r="E108" s="83">
        <f>IFERROR(Data!E48/Data!E39,"-")</f>
        <v/>
      </c>
      <c r="F108" s="83">
        <f>IFERROR(Data!F48/Data!F39,"-")</f>
        <v/>
      </c>
      <c r="G108" s="83">
        <f>IFERROR(Data!G48/Data!G39,"-")</f>
        <v/>
      </c>
      <c r="H108" s="83">
        <f>IFERROR(Data!H48/Data!H39,"-")</f>
        <v/>
      </c>
      <c r="I108" s="83">
        <f>IFERROR(Data!I48/Data!I39,"-")</f>
        <v/>
      </c>
      <c r="J108" s="83">
        <f>IFERROR(Data!J48/Data!J39,"-")</f>
        <v/>
      </c>
      <c r="K108" s="83">
        <f>IFERROR(Data!K48/Data!K39,"-")</f>
        <v/>
      </c>
      <c r="L108" s="83">
        <f>IFERROR(Data!L48/Data!L39,"-")</f>
        <v/>
      </c>
      <c r="N108" s="83">
        <f>IFERROR(Data!N48/Data!N39,"-")</f>
        <v/>
      </c>
      <c r="O108" s="83">
        <f>IFERROR(Data!O48/Data!O39,"-")</f>
        <v/>
      </c>
      <c r="P108" s="83">
        <f>IFERROR(Data!P48/Data!P39,"-")</f>
        <v/>
      </c>
      <c r="Q108" s="83">
        <f>IFERROR(Data!Q48/Data!Q39,"-")</f>
        <v/>
      </c>
      <c r="R108" s="83">
        <f>IFERROR(Data!R48/Data!R39,"-")</f>
        <v/>
      </c>
      <c r="S108" s="83">
        <f>IFERROR(Data!S48/Data!S39,"-")</f>
        <v/>
      </c>
      <c r="T108" s="83">
        <f>IFERROR(Data!T48/Data!T39,"-")</f>
        <v/>
      </c>
      <c r="U108" s="83">
        <f>IFERROR(Data!U48/Data!U39,"-")</f>
        <v/>
      </c>
    </row>
    <row r="109" ht="15" customHeight="1" s="74">
      <c r="A109" s="17" t="inlineStr">
        <is>
          <t>X3: EBIT / TA (GAAP)</t>
        </is>
      </c>
      <c r="B109" s="93">
        <f>IFERROR(Data!B22/Data!B39,"-")</f>
        <v/>
      </c>
      <c r="C109" s="93">
        <f>IFERROR(Data!C22/Data!C39,"-")</f>
        <v/>
      </c>
      <c r="D109" s="93">
        <f>IFERROR(Data!D22/Data!D39,"-")</f>
        <v/>
      </c>
      <c r="E109" s="93">
        <f>IFERROR(Data!E22/Data!E39,"-")</f>
        <v/>
      </c>
      <c r="F109" s="93">
        <f>IFERROR(Data!F22/Data!F39,"-")</f>
        <v/>
      </c>
      <c r="G109" s="93">
        <f>IFERROR(Data!G22/Data!G39,"-")</f>
        <v/>
      </c>
      <c r="H109" s="93">
        <f>IFERROR(Data!H22/Data!H39,"-")</f>
        <v/>
      </c>
      <c r="I109" s="93">
        <f>IFERROR(Data!I22/Data!I39,"-")</f>
        <v/>
      </c>
      <c r="J109" s="93">
        <f>IFERROR(Data!J22/Data!J39,"-")</f>
        <v/>
      </c>
      <c r="K109" s="93">
        <f>IFERROR(Data!K22/Data!K39,"-")</f>
        <v/>
      </c>
      <c r="L109" s="93">
        <f>IFERROR(Data!L22/Data!L39,"-")</f>
        <v/>
      </c>
      <c r="N109" s="93">
        <f>IFERROR(Data!N22/Data!N39,"-")</f>
        <v/>
      </c>
      <c r="O109" s="93">
        <f>IFERROR(Data!O22/Data!O39,"-")</f>
        <v/>
      </c>
      <c r="P109" s="93">
        <f>IFERROR(Data!P22/Data!P39,"-")</f>
        <v/>
      </c>
      <c r="Q109" s="93">
        <f>IFERROR(Data!Q22/Data!Q39,"-")</f>
        <v/>
      </c>
      <c r="R109" s="93">
        <f>IFERROR(Data!R22/Data!R39,"-")</f>
        <v/>
      </c>
      <c r="S109" s="93">
        <f>IFERROR(Data!S22/Data!S39,"-")</f>
        <v/>
      </c>
      <c r="T109" s="93">
        <f>IFERROR(Data!T22/Data!T39,"-")</f>
        <v/>
      </c>
      <c r="U109" s="93">
        <f>IFERROR(Data!U22/Data!U39,"-")</f>
        <v/>
      </c>
    </row>
    <row r="110" ht="15" customHeight="1" s="74">
      <c r="A110" s="15" t="inlineStr">
        <is>
          <t>X4: Equity / TL (book proxy)</t>
        </is>
      </c>
      <c r="B110" s="83">
        <f>IFERROR(Data!B41/Data!B40,"-")</f>
        <v/>
      </c>
      <c r="C110" s="83">
        <f>IFERROR(Data!C41/Data!C40,"-")</f>
        <v/>
      </c>
      <c r="D110" s="83">
        <f>IFERROR(Data!D41/Data!D40,"-")</f>
        <v/>
      </c>
      <c r="E110" s="83">
        <f>IFERROR(Data!E41/Data!E40,"-")</f>
        <v/>
      </c>
      <c r="F110" s="83">
        <f>IFERROR(Data!F41/Data!F40,"-")</f>
        <v/>
      </c>
      <c r="G110" s="83">
        <f>IFERROR(Data!G41/Data!G40,"-")</f>
        <v/>
      </c>
      <c r="H110" s="83">
        <f>IFERROR(Data!H41/Data!H40,"-")</f>
        <v/>
      </c>
      <c r="I110" s="83">
        <f>IFERROR(Data!I41/Data!I40,"-")</f>
        <v/>
      </c>
      <c r="J110" s="83">
        <f>IFERROR(Data!J41/Data!J40,"-")</f>
        <v/>
      </c>
      <c r="K110" s="83">
        <f>IFERROR(Data!K41/Data!K40,"-")</f>
        <v/>
      </c>
      <c r="L110" s="83">
        <f>IFERROR(Data!L41/Data!L40,"-")</f>
        <v/>
      </c>
      <c r="N110" s="83">
        <f>IFERROR(Data!N41/Data!N40,"-")</f>
        <v/>
      </c>
      <c r="O110" s="83">
        <f>IFERROR(Data!O41/Data!O40,"-")</f>
        <v/>
      </c>
      <c r="P110" s="83">
        <f>IFERROR(Data!P41/Data!P40,"-")</f>
        <v/>
      </c>
      <c r="Q110" s="83">
        <f>IFERROR(Data!Q41/Data!Q40,"-")</f>
        <v/>
      </c>
      <c r="R110" s="83">
        <f>IFERROR(Data!R41/Data!R40,"-")</f>
        <v/>
      </c>
      <c r="S110" s="83">
        <f>IFERROR(Data!S41/Data!S40,"-")</f>
        <v/>
      </c>
      <c r="T110" s="83">
        <f>IFERROR(Data!T41/Data!T40,"-")</f>
        <v/>
      </c>
      <c r="U110" s="83">
        <f>IFERROR(Data!U41/Data!U40,"-")</f>
        <v/>
      </c>
    </row>
    <row r="111" ht="15" customHeight="1" s="74">
      <c r="A111" s="17" t="inlineStr">
        <is>
          <t>X5: Revenue / TA</t>
        </is>
      </c>
      <c r="B111" s="93">
        <f>IFERROR(Data!B14/Data!B39,"-")</f>
        <v/>
      </c>
      <c r="C111" s="93">
        <f>IFERROR(Data!C14/Data!C39,"-")</f>
        <v/>
      </c>
      <c r="D111" s="93">
        <f>IFERROR(Data!D14/Data!D39,"-")</f>
        <v/>
      </c>
      <c r="E111" s="93">
        <f>IFERROR(Data!E14/Data!E39,"-")</f>
        <v/>
      </c>
      <c r="F111" s="93">
        <f>IFERROR(Data!F14/Data!F39,"-")</f>
        <v/>
      </c>
      <c r="G111" s="93">
        <f>IFERROR(Data!G14/Data!G39,"-")</f>
        <v/>
      </c>
      <c r="H111" s="93">
        <f>IFERROR(Data!H14/Data!H39,"-")</f>
        <v/>
      </c>
      <c r="I111" s="93">
        <f>IFERROR(Data!I14/Data!I39,"-")</f>
        <v/>
      </c>
      <c r="J111" s="93">
        <f>IFERROR(Data!J14/Data!J39,"-")</f>
        <v/>
      </c>
      <c r="K111" s="93">
        <f>IFERROR(Data!K14/Data!K39,"-")</f>
        <v/>
      </c>
      <c r="L111" s="93">
        <f>IFERROR(Data!L14/Data!L39,"-")</f>
        <v/>
      </c>
      <c r="N111" s="93">
        <f>IFERROR(Data!N14/Data!N39,"-")</f>
        <v/>
      </c>
      <c r="O111" s="93">
        <f>IFERROR(Data!O14/Data!O39,"-")</f>
        <v/>
      </c>
      <c r="P111" s="93">
        <f>IFERROR(Data!P14/Data!P39,"-")</f>
        <v/>
      </c>
      <c r="Q111" s="93">
        <f>IFERROR(Data!Q14/Data!Q39,"-")</f>
        <v/>
      </c>
      <c r="R111" s="93">
        <f>IFERROR(Data!R14/Data!R39,"-")</f>
        <v/>
      </c>
      <c r="S111" s="93">
        <f>IFERROR(Data!S14/Data!S39,"-")</f>
        <v/>
      </c>
      <c r="T111" s="93">
        <f>IFERROR(Data!T14/Data!T39,"-")</f>
        <v/>
      </c>
      <c r="U111" s="93">
        <f>IFERROR(Data!U14/Data!U39,"-")</f>
        <v/>
      </c>
    </row>
    <row r="112" ht="15" customHeight="1" s="74">
      <c r="A112" s="31" t="inlineStr">
        <is>
          <t>Altman Z-Score</t>
        </is>
      </c>
      <c r="B112" s="83">
        <f>IFERROR(1.2*B107+1.4*B108+3.3*B109+0.6*B110+1*B111,"-")</f>
        <v/>
      </c>
      <c r="C112" s="83">
        <f>IFERROR(1.2*C107+1.4*C108+3.3*C109+0.6*C110+1*C111,"-")</f>
        <v/>
      </c>
      <c r="D112" s="83">
        <f>IFERROR(1.2*D107+1.4*D108+3.3*D109+0.6*D110+1*D111,"-")</f>
        <v/>
      </c>
      <c r="E112" s="83">
        <f>IFERROR(1.2*E107+1.4*E108+3.3*E109+0.6*E110+1*E111,"-")</f>
        <v/>
      </c>
      <c r="F112" s="83">
        <f>IFERROR(1.2*F107+1.4*F108+3.3*F109+0.6*F110+1*F111,"-")</f>
        <v/>
      </c>
      <c r="G112" s="83">
        <f>IFERROR(1.2*G107+1.4*G108+3.3*G109+0.6*G110+1*G111,"-")</f>
        <v/>
      </c>
      <c r="H112" s="83">
        <f>IFERROR(1.2*H107+1.4*H108+3.3*H109+0.6*H110+1*H111,"-")</f>
        <v/>
      </c>
      <c r="I112" s="83">
        <f>IFERROR(1.2*I107+1.4*I108+3.3*I109+0.6*I110+1*I111,"-")</f>
        <v/>
      </c>
      <c r="J112" s="83">
        <f>IFERROR(1.2*J107+1.4*J108+3.3*J109+0.6*J110+1*J111,"-")</f>
        <v/>
      </c>
      <c r="K112" s="83">
        <f>IFERROR(1.2*K107+1.4*K108+3.3*K109+0.6*K110+1*K111,"-")</f>
        <v/>
      </c>
      <c r="L112" s="83">
        <f>IFERROR(1.2*L107+1.4*L108+3.3*L109+0.6*L110+1*L111,"-")</f>
        <v/>
      </c>
      <c r="N112" s="83">
        <f>IFERROR(1.2*N107+1.4*N108+3.3*N109+0.6*N110+1*N111,"-")</f>
        <v/>
      </c>
      <c r="O112" s="83">
        <f>IFERROR(1.2*O107+1.4*O108+3.3*O109+0.6*O110+1*O111,"-")</f>
        <v/>
      </c>
      <c r="P112" s="83">
        <f>IFERROR(1.2*P107+1.4*P108+3.3*P109+0.6*P110+1*P111,"-")</f>
        <v/>
      </c>
      <c r="Q112" s="83">
        <f>IFERROR(1.2*Q107+1.4*Q108+3.3*Q109+0.6*Q110+1*Q111,"-")</f>
        <v/>
      </c>
      <c r="R112" s="83">
        <f>IFERROR(1.2*R107+1.4*R108+3.3*R109+0.6*R110+1*R111,"-")</f>
        <v/>
      </c>
      <c r="S112" s="83">
        <f>IFERROR(1.2*S107+1.4*S108+3.3*S109+0.6*S110+1*S111,"-")</f>
        <v/>
      </c>
      <c r="T112" s="83">
        <f>IFERROR(1.2*T107+1.4*T108+3.3*T109+0.6*T110+1*T111,"-")</f>
        <v/>
      </c>
      <c r="U112" s="83">
        <f>IFERROR(1.2*U107+1.4*U108+3.3*U109+0.6*U110+1*U111,"-")</f>
        <v/>
      </c>
    </row>
    <row r="113" ht="15" customHeight="1" s="74">
      <c r="A113" s="32" t="inlineStr">
        <is>
          <t>Zone (&gt;2.99=Safe, 1.81-2.99=Gray, &lt;1.81=Distress)</t>
        </is>
      </c>
      <c r="B113" s="33">
        <f>IFERROR(IF(B112&gt;2.99,"Safe",IF(B112&gt;1.81,"Gray","Distress")),"-")</f>
        <v/>
      </c>
      <c r="C113" s="33">
        <f>IFERROR(IF(C112&gt;2.99,"Safe",IF(C112&gt;1.81,"Gray","Distress")),"-")</f>
        <v/>
      </c>
      <c r="D113" s="33">
        <f>IFERROR(IF(D112&gt;2.99,"Safe",IF(D112&gt;1.81,"Gray","Distress")),"-")</f>
        <v/>
      </c>
      <c r="E113" s="33">
        <f>IFERROR(IF(E112&gt;2.99,"Safe",IF(E112&gt;1.81,"Gray","Distress")),"-")</f>
        <v/>
      </c>
      <c r="F113" s="33">
        <f>IFERROR(IF(F112&gt;2.99,"Safe",IF(F112&gt;1.81,"Gray","Distress")),"-")</f>
        <v/>
      </c>
      <c r="G113" s="33">
        <f>IFERROR(IF(G112&gt;2.99,"Safe",IF(G112&gt;1.81,"Gray","Distress")),"-")</f>
        <v/>
      </c>
      <c r="H113" s="33">
        <f>IFERROR(IF(H112&gt;2.99,"Safe",IF(H112&gt;1.81,"Gray","Distress")),"-")</f>
        <v/>
      </c>
      <c r="I113" s="33">
        <f>IFERROR(IF(I112&gt;2.99,"Safe",IF(I112&gt;1.81,"Gray","Distress")),"-")</f>
        <v/>
      </c>
      <c r="J113" s="33">
        <f>IFERROR(IF(J112&gt;2.99,"Safe",IF(J112&gt;1.81,"Gray","Distress")),"-")</f>
        <v/>
      </c>
      <c r="K113" s="33">
        <f>IFERROR(IF(K112&gt;2.99,"Safe",IF(K112&gt;1.81,"Gray","Distress")),"-")</f>
        <v/>
      </c>
      <c r="L113" s="33">
        <f>IFERROR(IF(L112&gt;2.99,"Safe",IF(L112&gt;1.81,"Gray","Distress")),"-")</f>
        <v/>
      </c>
      <c r="N113" s="33">
        <f>IFERROR(IF(N112&gt;2.99,"Safe",IF(N112&gt;1.81,"Gray","Distress")),"-")</f>
        <v/>
      </c>
      <c r="O113" s="33">
        <f>IFERROR(IF(O112&gt;2.99,"Safe",IF(O112&gt;1.81,"Gray","Distress")),"-")</f>
        <v/>
      </c>
      <c r="P113" s="33">
        <f>IFERROR(IF(P112&gt;2.99,"Safe",IF(P112&gt;1.81,"Gray","Distress")),"-")</f>
        <v/>
      </c>
      <c r="Q113" s="33">
        <f>IFERROR(IF(Q112&gt;2.99,"Safe",IF(Q112&gt;1.81,"Gray","Distress")),"-")</f>
        <v/>
      </c>
      <c r="R113" s="33">
        <f>IFERROR(IF(R112&gt;2.99,"Safe",IF(R112&gt;1.81,"Gray","Distress")),"-")</f>
        <v/>
      </c>
      <c r="S113" s="33">
        <f>IFERROR(IF(S112&gt;2.99,"Safe",IF(S112&gt;1.81,"Gray","Distress")),"-")</f>
        <v/>
      </c>
      <c r="T113" s="33">
        <f>IFERROR(IF(T112&gt;2.99,"Safe",IF(T112&gt;1.81,"Gray","Distress")),"-")</f>
        <v/>
      </c>
      <c r="U113" s="33">
        <f>IFERROR(IF(U112&gt;2.99,"Safe",IF(U112&gt;1.81,"Gray","Distress")),"-")</f>
        <v/>
      </c>
    </row>
    <row r="114" ht="15" customHeight="1" s="74">
      <c r="A114" s="10" t="inlineStr">
        <is>
          <t>Z-Score (Mkt Equity X4)</t>
        </is>
      </c>
      <c r="B114" s="10">
        <f>IFERROR(1.2*B107+1.4*B108+3.3*B109+0.6*(Data!B57*Data!B28/Data!B40)+1*B111,"-")</f>
        <v/>
      </c>
      <c r="C114" s="10">
        <f>IFERROR(1.2*C107+1.4*C108+3.3*C109+0.6*(Data!C57*Data!C28/Data!C40)+1*C111,"-")</f>
        <v/>
      </c>
      <c r="D114" s="10">
        <f>IFERROR(1.2*D107+1.4*D108+3.3*D109+0.6*(Data!D57*Data!D28/Data!D40)+1*D111,"-")</f>
        <v/>
      </c>
      <c r="E114" s="10">
        <f>IFERROR(1.2*E107+1.4*E108+3.3*E109+0.6*(Data!E57*Data!E28/Data!E40)+1*E111,"-")</f>
        <v/>
      </c>
      <c r="F114" s="10">
        <f>IFERROR(1.2*F107+1.4*F108+3.3*F109+0.6*(Data!F57*Data!F28/Data!F40)+1*F111,"-")</f>
        <v/>
      </c>
      <c r="G114" s="10">
        <f>IFERROR(1.2*G107+1.4*G108+3.3*G109+0.6*(Data!G57*Data!G28/Data!G40)+1*G111,"-")</f>
        <v/>
      </c>
      <c r="H114" s="10">
        <f>IFERROR(1.2*H107+1.4*H108+3.3*H109+0.6*(Data!H57*Data!H28/Data!H40)+1*H111,"-")</f>
        <v/>
      </c>
      <c r="I114" s="10">
        <f>IFERROR(1.2*I107+1.4*I108+3.3*I109+0.6*(Data!I57*Data!I28/Data!I40)+1*I111,"-")</f>
        <v/>
      </c>
      <c r="J114" s="10">
        <f>IFERROR(1.2*J107+1.4*J108+3.3*J109+0.6*(Data!J57*Data!J28/Data!J40)+1*J111,"-")</f>
        <v/>
      </c>
      <c r="K114" s="10">
        <f>IFERROR(1.2*K107+1.4*K108+3.3*K109+0.6*(Data!K57*Data!K28/Data!K40)+1*K111,"-")</f>
        <v/>
      </c>
      <c r="L114" s="10">
        <f>IFERROR(1.2*L107+1.4*L108+3.3*L109+0.6*(Data!L57*Data!L28/Data!L40)+1*L111,"-")</f>
        <v/>
      </c>
      <c r="N114" s="10">
        <f>IFERROR(1.2*N107+1.4*N108+3.3*N109+0.6*(Data!N57*Data!N28/Data!N40)+1*N111,"-")</f>
        <v/>
      </c>
      <c r="O114" s="10">
        <f>IFERROR(1.2*O107+1.4*O108+3.3*O109+0.6*(Data!O57*Data!O28/Data!O40)+1*O111,"-")</f>
        <v/>
      </c>
      <c r="P114" s="10">
        <f>IFERROR(1.2*P107+1.4*P108+3.3*P109+0.6*(Data!P57*Data!P28/Data!P40)+1*P111,"-")</f>
        <v/>
      </c>
      <c r="Q114" s="10">
        <f>IFERROR(1.2*Q107+1.4*Q108+3.3*Q109+0.6*(Data!Q57*Data!Q28/Data!Q40)+1*Q111,"-")</f>
        <v/>
      </c>
      <c r="R114" s="10">
        <f>IFERROR(1.2*R107+1.4*R108+3.3*R109+0.6*(Data!R57*Data!R28/Data!R40)+1*R111,"-")</f>
        <v/>
      </c>
      <c r="S114" s="10">
        <f>IFERROR(1.2*S107+1.4*S108+3.3*S109+0.6*(Data!S57*Data!S28/Data!S40)+1*S111,"-")</f>
        <v/>
      </c>
      <c r="T114" s="10">
        <f>IFERROR(1.2*T107+1.4*T108+3.3*T109+0.6*(Data!T57*Data!T28/Data!T40)+1*T111,"-")</f>
        <v/>
      </c>
      <c r="U114" s="10">
        <f>IFERROR(1.2*U107+1.4*U108+3.3*U109+0.6*(Data!U57*Data!U28/Data!U40)+1*U111,"-")</f>
        <v/>
      </c>
    </row>
    <row r="115" ht="15" customHeight="1" s="74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N115" s="2" t="n"/>
      <c r="O115" s="2" t="n"/>
      <c r="P115" s="2" t="n"/>
      <c r="Q115" s="2" t="n"/>
      <c r="R115" s="2" t="n"/>
      <c r="S115" s="2" t="n"/>
      <c r="T115" s="2" t="n"/>
      <c r="U115" s="2" t="n"/>
    </row>
    <row r="116" ht="15" customHeight="1" s="74">
      <c r="A116" s="30" t="inlineStr">
        <is>
          <t>DUPONT DECOMPOSITION (ROE = Margin × Turnover × Leverage)</t>
        </is>
      </c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N116" s="2" t="n"/>
      <c r="O116" s="2" t="n"/>
      <c r="P116" s="2" t="n"/>
      <c r="Q116" s="2" t="n"/>
      <c r="R116" s="2" t="n"/>
      <c r="S116" s="2" t="n"/>
      <c r="T116" s="2" t="n"/>
      <c r="U116" s="2" t="n"/>
    </row>
    <row r="117" ht="15" customHeight="1" s="74">
      <c r="A117" s="14" t="inlineStr">
        <is>
          <t>Period</t>
        </is>
      </c>
      <c r="B117" s="14">
        <f>Data!B13</f>
        <v/>
      </c>
      <c r="C117" s="14">
        <f>Data!C13</f>
        <v/>
      </c>
      <c r="D117" s="14">
        <f>Data!D13</f>
        <v/>
      </c>
      <c r="E117" s="14">
        <f>Data!E13</f>
        <v/>
      </c>
      <c r="F117" s="14">
        <f>Data!F13</f>
        <v/>
      </c>
      <c r="G117" s="14">
        <f>Data!G13</f>
        <v/>
      </c>
      <c r="H117" s="14">
        <f>Data!H13</f>
        <v/>
      </c>
      <c r="I117" s="14">
        <f>Data!I13</f>
        <v/>
      </c>
      <c r="J117" s="14">
        <f>Data!J13</f>
        <v/>
      </c>
      <c r="K117" s="14">
        <f>Data!K13</f>
        <v/>
      </c>
      <c r="L117" s="14">
        <f>Data!L13</f>
        <v/>
      </c>
      <c r="N117" s="14">
        <f>Data!N13</f>
        <v/>
      </c>
      <c r="O117" s="14">
        <f>Data!O13</f>
        <v/>
      </c>
      <c r="P117" s="14">
        <f>Data!P13</f>
        <v/>
      </c>
      <c r="Q117" s="14">
        <f>Data!Q13</f>
        <v/>
      </c>
      <c r="R117" s="14">
        <f>Data!R13</f>
        <v/>
      </c>
      <c r="S117" s="14">
        <f>Data!S13</f>
        <v/>
      </c>
      <c r="T117" s="14">
        <f>Data!T13</f>
        <v/>
      </c>
      <c r="U117" s="14">
        <f>Data!U13</f>
        <v/>
      </c>
    </row>
    <row r="118" ht="15" customHeight="1" s="74">
      <c r="A118" s="17" t="inlineStr">
        <is>
          <t>Net Profit Margin (NI/Rev)</t>
        </is>
      </c>
      <c r="B118" s="81">
        <f>IFERROR(Data!B26/Data!B14,"-")</f>
        <v/>
      </c>
      <c r="C118" s="81">
        <f>IFERROR(Data!C26/Data!C14,"-")</f>
        <v/>
      </c>
      <c r="D118" s="81">
        <f>IFERROR(Data!D26/Data!D14,"-")</f>
        <v/>
      </c>
      <c r="E118" s="81">
        <f>IFERROR(Data!E26/Data!E14,"-")</f>
        <v/>
      </c>
      <c r="F118" s="81">
        <f>IFERROR(Data!F26/Data!F14,"-")</f>
        <v/>
      </c>
      <c r="G118" s="81">
        <f>IFERROR(Data!G26/Data!G14,"-")</f>
        <v/>
      </c>
      <c r="H118" s="81">
        <f>IFERROR(Data!H26/Data!H14,"-")</f>
        <v/>
      </c>
      <c r="I118" s="81">
        <f>IFERROR(Data!I26/Data!I14,"-")</f>
        <v/>
      </c>
      <c r="J118" s="81">
        <f>IFERROR(Data!J26/Data!J14,"-")</f>
        <v/>
      </c>
      <c r="K118" s="81">
        <f>IFERROR(Data!K26/Data!K14,"-")</f>
        <v/>
      </c>
      <c r="L118" s="81">
        <f>IFERROR(Data!L26/Data!L14,"-")</f>
        <v/>
      </c>
      <c r="N118" s="81">
        <f>IFERROR(Data!N26/Data!N14,"-")</f>
        <v/>
      </c>
      <c r="O118" s="81">
        <f>IFERROR(Data!O26/Data!O14,"-")</f>
        <v/>
      </c>
      <c r="P118" s="81">
        <f>IFERROR(Data!P26/Data!P14,"-")</f>
        <v/>
      </c>
      <c r="Q118" s="81">
        <f>IFERROR(Data!Q26/Data!Q14,"-")</f>
        <v/>
      </c>
      <c r="R118" s="81">
        <f>IFERROR(Data!R26/Data!R14,"-")</f>
        <v/>
      </c>
      <c r="S118" s="81">
        <f>IFERROR(Data!S26/Data!S14,"-")</f>
        <v/>
      </c>
      <c r="T118" s="81">
        <f>IFERROR(Data!T26/Data!T14,"-")</f>
        <v/>
      </c>
      <c r="U118" s="81">
        <f>IFERROR(Data!U26/Data!U14,"-")</f>
        <v/>
      </c>
    </row>
    <row r="119" ht="15" customHeight="1" s="74">
      <c r="A119" s="15" t="inlineStr">
        <is>
          <t>Asset Turnover (Rev/TA)</t>
        </is>
      </c>
      <c r="B119" s="83">
        <f>IFERROR(Data!B14/Data!B39,"-")</f>
        <v/>
      </c>
      <c r="C119" s="83">
        <f>IFERROR(Data!C14/Data!C39,"-")</f>
        <v/>
      </c>
      <c r="D119" s="83">
        <f>IFERROR(Data!D14/Data!D39,"-")</f>
        <v/>
      </c>
      <c r="E119" s="83">
        <f>IFERROR(Data!E14/Data!E39,"-")</f>
        <v/>
      </c>
      <c r="F119" s="83">
        <f>IFERROR(Data!F14/Data!F39,"-")</f>
        <v/>
      </c>
      <c r="G119" s="83">
        <f>IFERROR(Data!G14/Data!G39,"-")</f>
        <v/>
      </c>
      <c r="H119" s="83">
        <f>IFERROR(Data!H14/Data!H39,"-")</f>
        <v/>
      </c>
      <c r="I119" s="83">
        <f>IFERROR(Data!I14/Data!I39,"-")</f>
        <v/>
      </c>
      <c r="J119" s="83">
        <f>IFERROR(Data!J14/Data!J39,"-")</f>
        <v/>
      </c>
      <c r="K119" s="83">
        <f>IFERROR(Data!K14/Data!K39,"-")</f>
        <v/>
      </c>
      <c r="L119" s="83">
        <f>IFERROR(Data!L14/Data!L39,"-")</f>
        <v/>
      </c>
      <c r="N119" s="83">
        <f>IFERROR(Data!N14/Data!N39,"-")</f>
        <v/>
      </c>
      <c r="O119" s="83">
        <f>IFERROR(Data!O14/Data!O39,"-")</f>
        <v/>
      </c>
      <c r="P119" s="83">
        <f>IFERROR(Data!P14/Data!P39,"-")</f>
        <v/>
      </c>
      <c r="Q119" s="83">
        <f>IFERROR(Data!Q14/Data!Q39,"-")</f>
        <v/>
      </c>
      <c r="R119" s="83">
        <f>IFERROR(Data!R14/Data!R39,"-")</f>
        <v/>
      </c>
      <c r="S119" s="83">
        <f>IFERROR(Data!S14/Data!S39,"-")</f>
        <v/>
      </c>
      <c r="T119" s="83">
        <f>IFERROR(Data!T14/Data!T39,"-")</f>
        <v/>
      </c>
      <c r="U119" s="83">
        <f>IFERROR(Data!U14/Data!U39,"-")</f>
        <v/>
      </c>
    </row>
    <row r="120" ht="15" customHeight="1" s="74">
      <c r="A120" s="17" t="inlineStr">
        <is>
          <t>Equity Multiplier (TA/Eq)</t>
        </is>
      </c>
      <c r="B120" s="93">
        <f>IFERROR(Data!B39/Data!B41,"-")</f>
        <v/>
      </c>
      <c r="C120" s="93">
        <f>IFERROR(Data!C39/Data!C41,"-")</f>
        <v/>
      </c>
      <c r="D120" s="93">
        <f>IFERROR(Data!D39/Data!D41,"-")</f>
        <v/>
      </c>
      <c r="E120" s="93">
        <f>IFERROR(Data!E39/Data!E41,"-")</f>
        <v/>
      </c>
      <c r="F120" s="93">
        <f>IFERROR(Data!F39/Data!F41,"-")</f>
        <v/>
      </c>
      <c r="G120" s="93">
        <f>IFERROR(Data!G39/Data!G41,"-")</f>
        <v/>
      </c>
      <c r="H120" s="93">
        <f>IFERROR(Data!H39/Data!H41,"-")</f>
        <v/>
      </c>
      <c r="I120" s="93">
        <f>IFERROR(Data!I39/Data!I41,"-")</f>
        <v/>
      </c>
      <c r="J120" s="93">
        <f>IFERROR(Data!J39/Data!J41,"-")</f>
        <v/>
      </c>
      <c r="K120" s="93">
        <f>IFERROR(Data!K39/Data!K41,"-")</f>
        <v/>
      </c>
      <c r="L120" s="93">
        <f>IFERROR(Data!L39/Data!L41,"-")</f>
        <v/>
      </c>
      <c r="N120" s="93">
        <f>IFERROR(Data!N39/Data!N41,"-")</f>
        <v/>
      </c>
      <c r="O120" s="93">
        <f>IFERROR(Data!O39/Data!O41,"-")</f>
        <v/>
      </c>
      <c r="P120" s="93">
        <f>IFERROR(Data!P39/Data!P41,"-")</f>
        <v/>
      </c>
      <c r="Q120" s="93">
        <f>IFERROR(Data!Q39/Data!Q41,"-")</f>
        <v/>
      </c>
      <c r="R120" s="93">
        <f>IFERROR(Data!R39/Data!R41,"-")</f>
        <v/>
      </c>
      <c r="S120" s="93">
        <f>IFERROR(Data!S39/Data!S41,"-")</f>
        <v/>
      </c>
      <c r="T120" s="93">
        <f>IFERROR(Data!T39/Data!T41,"-")</f>
        <v/>
      </c>
      <c r="U120" s="93">
        <f>IFERROR(Data!U39/Data!U41,"-")</f>
        <v/>
      </c>
    </row>
    <row r="121" ht="15" customHeight="1" s="74">
      <c r="A121" s="31" t="inlineStr">
        <is>
          <t>DuPont ROE (check)</t>
        </is>
      </c>
      <c r="B121" s="84">
        <f>IFERROR(B118*B119*B120,"-")</f>
        <v/>
      </c>
      <c r="C121" s="84">
        <f>IFERROR(C118*C119*C120,"-")</f>
        <v/>
      </c>
      <c r="D121" s="84">
        <f>IFERROR(D118*D119*D120,"-")</f>
        <v/>
      </c>
      <c r="E121" s="84">
        <f>IFERROR(E118*E119*E120,"-")</f>
        <v/>
      </c>
      <c r="F121" s="84">
        <f>IFERROR(F118*F119*F120,"-")</f>
        <v/>
      </c>
      <c r="G121" s="84">
        <f>IFERROR(G118*G119*G120,"-")</f>
        <v/>
      </c>
      <c r="H121" s="84">
        <f>IFERROR(H118*H119*H120,"-")</f>
        <v/>
      </c>
      <c r="I121" s="84">
        <f>IFERROR(I118*I119*I120,"-")</f>
        <v/>
      </c>
      <c r="J121" s="84">
        <f>IFERROR(J118*J119*J120,"-")</f>
        <v/>
      </c>
      <c r="K121" s="84">
        <f>IFERROR(K118*K119*K120,"-")</f>
        <v/>
      </c>
      <c r="L121" s="84">
        <f>IFERROR(L118*L119*L120,"-")</f>
        <v/>
      </c>
      <c r="N121" s="84">
        <f>IFERROR(N118*N119*N120,"-")</f>
        <v/>
      </c>
      <c r="O121" s="84">
        <f>IFERROR(O118*O119*O120,"-")</f>
        <v/>
      </c>
      <c r="P121" s="84">
        <f>IFERROR(P118*P119*P120,"-")</f>
        <v/>
      </c>
      <c r="Q121" s="84">
        <f>IFERROR(Q118*Q119*Q120,"-")</f>
        <v/>
      </c>
      <c r="R121" s="84">
        <f>IFERROR(R118*R119*R120,"-")</f>
        <v/>
      </c>
      <c r="S121" s="84">
        <f>IFERROR(S118*S119*S120,"-")</f>
        <v/>
      </c>
      <c r="T121" s="84">
        <f>IFERROR(T118*T119*T120,"-")</f>
        <v/>
      </c>
      <c r="U121" s="84">
        <f>IFERROR(U118*U119*U120,"-")</f>
        <v/>
      </c>
    </row>
    <row r="122" ht="15" customHeight="1" s="74">
      <c r="A122" s="34" t="inlineStr">
        <is>
          <t>─ 5-Factor DuPont ─</t>
        </is>
      </c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  <c r="K122" s="8" t="n"/>
      <c r="L122" s="8" t="n"/>
      <c r="N122" s="8" t="n"/>
      <c r="O122" s="8" t="n"/>
      <c r="P122" s="8" t="n"/>
      <c r="Q122" s="8" t="n"/>
      <c r="R122" s="8" t="n"/>
      <c r="S122" s="8" t="n"/>
      <c r="T122" s="8" t="n"/>
      <c r="U122" s="8" t="n"/>
    </row>
    <row r="123" ht="15" customHeight="1" s="74">
      <c r="A123" s="15" t="inlineStr">
        <is>
          <t>Tax Burden (NI / PreTax)</t>
        </is>
      </c>
      <c r="B123" s="83">
        <f>IFERROR(Data!B26/Data!B24,"-")</f>
        <v/>
      </c>
      <c r="C123" s="83">
        <f>IFERROR(Data!C26/Data!C24,"-")</f>
        <v/>
      </c>
      <c r="D123" s="83">
        <f>IFERROR(Data!D26/Data!D24,"-")</f>
        <v/>
      </c>
      <c r="E123" s="83">
        <f>IFERROR(Data!E26/Data!E24,"-")</f>
        <v/>
      </c>
      <c r="F123" s="83">
        <f>IFERROR(Data!F26/Data!F24,"-")</f>
        <v/>
      </c>
      <c r="G123" s="83">
        <f>IFERROR(Data!G26/Data!G24,"-")</f>
        <v/>
      </c>
      <c r="H123" s="83">
        <f>IFERROR(Data!H26/Data!H24,"-")</f>
        <v/>
      </c>
      <c r="I123" s="83">
        <f>IFERROR(Data!I26/Data!I24,"-")</f>
        <v/>
      </c>
      <c r="J123" s="83">
        <f>IFERROR(Data!J26/Data!J24,"-")</f>
        <v/>
      </c>
      <c r="K123" s="83">
        <f>IFERROR(Data!K26/Data!K24,"-")</f>
        <v/>
      </c>
      <c r="L123" s="83">
        <f>IFERROR(Data!L26/Data!L24,"-")</f>
        <v/>
      </c>
      <c r="N123" s="83">
        <f>IFERROR(Data!N26/Data!N24,"-")</f>
        <v/>
      </c>
      <c r="O123" s="83">
        <f>IFERROR(Data!O26/Data!O24,"-")</f>
        <v/>
      </c>
      <c r="P123" s="83">
        <f>IFERROR(Data!P26/Data!P24,"-")</f>
        <v/>
      </c>
      <c r="Q123" s="83">
        <f>IFERROR(Data!Q26/Data!Q24,"-")</f>
        <v/>
      </c>
      <c r="R123" s="83">
        <f>IFERROR(Data!R26/Data!R24,"-")</f>
        <v/>
      </c>
      <c r="S123" s="83">
        <f>IFERROR(Data!S26/Data!S24,"-")</f>
        <v/>
      </c>
      <c r="T123" s="83">
        <f>IFERROR(Data!T26/Data!T24,"-")</f>
        <v/>
      </c>
      <c r="U123" s="83">
        <f>IFERROR(Data!U26/Data!U24,"-")</f>
        <v/>
      </c>
    </row>
    <row r="124" ht="15" customHeight="1" s="74">
      <c r="A124" s="17" t="inlineStr">
        <is>
          <t>Interest Burden (PreTax / EBIT)</t>
        </is>
      </c>
      <c r="B124" s="93">
        <f>IFERROR(Data!B24/Data!B22,"-")</f>
        <v/>
      </c>
      <c r="C124" s="93">
        <f>IFERROR(Data!C24/Data!C22,"-")</f>
        <v/>
      </c>
      <c r="D124" s="93">
        <f>IFERROR(Data!D24/Data!D22,"-")</f>
        <v/>
      </c>
      <c r="E124" s="93">
        <f>IFERROR(Data!E24/Data!E22,"-")</f>
        <v/>
      </c>
      <c r="F124" s="93">
        <f>IFERROR(Data!F24/Data!F22,"-")</f>
        <v/>
      </c>
      <c r="G124" s="93">
        <f>IFERROR(Data!G24/Data!G22,"-")</f>
        <v/>
      </c>
      <c r="H124" s="93">
        <f>IFERROR(Data!H24/Data!H22,"-")</f>
        <v/>
      </c>
      <c r="I124" s="93">
        <f>IFERROR(Data!I24/Data!I22,"-")</f>
        <v/>
      </c>
      <c r="J124" s="93">
        <f>IFERROR(Data!J24/Data!J22,"-")</f>
        <v/>
      </c>
      <c r="K124" s="93">
        <f>IFERROR(Data!K24/Data!K22,"-")</f>
        <v/>
      </c>
      <c r="L124" s="93">
        <f>IFERROR(Data!L24/Data!L22,"-")</f>
        <v/>
      </c>
      <c r="N124" s="93">
        <f>IFERROR(Data!N24/Data!N22,"-")</f>
        <v/>
      </c>
      <c r="O124" s="93">
        <f>IFERROR(Data!O24/Data!O22,"-")</f>
        <v/>
      </c>
      <c r="P124" s="93">
        <f>IFERROR(Data!P24/Data!P22,"-")</f>
        <v/>
      </c>
      <c r="Q124" s="93">
        <f>IFERROR(Data!Q24/Data!Q22,"-")</f>
        <v/>
      </c>
      <c r="R124" s="93">
        <f>IFERROR(Data!R24/Data!R22,"-")</f>
        <v/>
      </c>
      <c r="S124" s="93">
        <f>IFERROR(Data!S24/Data!S22,"-")</f>
        <v/>
      </c>
      <c r="T124" s="93">
        <f>IFERROR(Data!T24/Data!T22,"-")</f>
        <v/>
      </c>
      <c r="U124" s="93">
        <f>IFERROR(Data!U24/Data!U22,"-")</f>
        <v/>
      </c>
    </row>
    <row r="125" ht="15" customHeight="1" s="74">
      <c r="A125" s="15" t="inlineStr">
        <is>
          <t>EBIT Margin (EBIT / Rev)</t>
        </is>
      </c>
      <c r="B125" s="84">
        <f>IFERROR(Data!B22/Data!B14,"-")</f>
        <v/>
      </c>
      <c r="C125" s="84">
        <f>IFERROR(Data!C22/Data!C14,"-")</f>
        <v/>
      </c>
      <c r="D125" s="84">
        <f>IFERROR(Data!D22/Data!D14,"-")</f>
        <v/>
      </c>
      <c r="E125" s="84">
        <f>IFERROR(Data!E22/Data!E14,"-")</f>
        <v/>
      </c>
      <c r="F125" s="84">
        <f>IFERROR(Data!F22/Data!F14,"-")</f>
        <v/>
      </c>
      <c r="G125" s="84">
        <f>IFERROR(Data!G22/Data!G14,"-")</f>
        <v/>
      </c>
      <c r="H125" s="84">
        <f>IFERROR(Data!H22/Data!H14,"-")</f>
        <v/>
      </c>
      <c r="I125" s="84">
        <f>IFERROR(Data!I22/Data!I14,"-")</f>
        <v/>
      </c>
      <c r="J125" s="84">
        <f>IFERROR(Data!J22/Data!J14,"-")</f>
        <v/>
      </c>
      <c r="K125" s="84">
        <f>IFERROR(Data!K22/Data!K14,"-")</f>
        <v/>
      </c>
      <c r="L125" s="84">
        <f>IFERROR(Data!L22/Data!L14,"-")</f>
        <v/>
      </c>
      <c r="N125" s="84">
        <f>IFERROR(Data!N22/Data!N14,"-")</f>
        <v/>
      </c>
      <c r="O125" s="84">
        <f>IFERROR(Data!O22/Data!O14,"-")</f>
        <v/>
      </c>
      <c r="P125" s="84">
        <f>IFERROR(Data!P22/Data!P14,"-")</f>
        <v/>
      </c>
      <c r="Q125" s="84">
        <f>IFERROR(Data!Q22/Data!Q14,"-")</f>
        <v/>
      </c>
      <c r="R125" s="84">
        <f>IFERROR(Data!R22/Data!R14,"-")</f>
        <v/>
      </c>
      <c r="S125" s="84">
        <f>IFERROR(Data!S22/Data!S14,"-")</f>
        <v/>
      </c>
      <c r="T125" s="84">
        <f>IFERROR(Data!T22/Data!T14,"-")</f>
        <v/>
      </c>
      <c r="U125" s="84">
        <f>IFERROR(Data!U22/Data!U14,"-")</f>
        <v/>
      </c>
    </row>
    <row r="126" ht="15" customHeight="1" s="74">
      <c r="A126" s="35" t="inlineStr">
        <is>
          <t>5-Factor DuPont ROE (check)</t>
        </is>
      </c>
      <c r="B126" s="81">
        <f>IFERROR(B123*B124*B125*B119*B120,"-")</f>
        <v/>
      </c>
      <c r="C126" s="81">
        <f>IFERROR(C123*C124*C125*C119*C120,"-")</f>
        <v/>
      </c>
      <c r="D126" s="81">
        <f>IFERROR(D123*D124*D125*D119*D120,"-")</f>
        <v/>
      </c>
      <c r="E126" s="81">
        <f>IFERROR(E123*E124*E125*E119*E120,"-")</f>
        <v/>
      </c>
      <c r="F126" s="81">
        <f>IFERROR(F123*F124*F125*F119*F120,"-")</f>
        <v/>
      </c>
      <c r="G126" s="81">
        <f>IFERROR(G123*G124*G125*G119*G120,"-")</f>
        <v/>
      </c>
      <c r="H126" s="81">
        <f>IFERROR(H123*H124*H125*H119*H120,"-")</f>
        <v/>
      </c>
      <c r="I126" s="81">
        <f>IFERROR(I123*I124*I125*I119*I120,"-")</f>
        <v/>
      </c>
      <c r="J126" s="81">
        <f>IFERROR(J123*J124*J125*J119*J120,"-")</f>
        <v/>
      </c>
      <c r="K126" s="81">
        <f>IFERROR(K123*K124*K125*K119*K120,"-")</f>
        <v/>
      </c>
      <c r="L126" s="81">
        <f>IFERROR(L123*L124*L125*L119*L120,"-")</f>
        <v/>
      </c>
      <c r="N126" s="81">
        <f>IFERROR(N123*N124*N125*N119*N120,"-")</f>
        <v/>
      </c>
      <c r="O126" s="81">
        <f>IFERROR(O123*O124*O125*O119*O120,"-")</f>
        <v/>
      </c>
      <c r="P126" s="81">
        <f>IFERROR(P123*P124*P125*P119*P120,"-")</f>
        <v/>
      </c>
      <c r="Q126" s="81">
        <f>IFERROR(Q123*Q124*Q125*Q119*Q120,"-")</f>
        <v/>
      </c>
      <c r="R126" s="81">
        <f>IFERROR(R123*R124*R125*R119*R120,"-")</f>
        <v/>
      </c>
      <c r="S126" s="81">
        <f>IFERROR(S123*S124*S125*S119*S120,"-")</f>
        <v/>
      </c>
      <c r="T126" s="81">
        <f>IFERROR(T123*T124*T125*T119*T120,"-")</f>
        <v/>
      </c>
      <c r="U126" s="81">
        <f>IFERROR(U123*U124*U125*U119*U120,"-")</f>
        <v/>
      </c>
    </row>
    <row r="127" ht="15" customHeight="1" s="74">
      <c r="A127" s="10" t="n"/>
      <c r="B127" s="10" t="n"/>
      <c r="C127" s="10" t="n"/>
      <c r="D127" s="10" t="n"/>
      <c r="E127" s="10" t="n"/>
      <c r="F127" s="10" t="n"/>
      <c r="G127" s="10" t="n"/>
      <c r="H127" s="10" t="n"/>
      <c r="I127" s="10" t="n"/>
      <c r="J127" s="10" t="n"/>
      <c r="K127" s="10" t="n"/>
      <c r="L127" s="10" t="n"/>
      <c r="N127" s="10" t="n"/>
      <c r="O127" s="10" t="n"/>
      <c r="P127" s="10" t="n"/>
      <c r="Q127" s="10" t="n"/>
      <c r="R127" s="10" t="n"/>
      <c r="S127" s="10" t="n"/>
      <c r="T127" s="10" t="n"/>
      <c r="U127" s="10" t="n"/>
    </row>
    <row r="128" ht="15" customHeight="1" s="74">
      <c r="A128" s="30" t="inlineStr">
        <is>
          <t>QUARTERLY TREND ANALYSIS</t>
        </is>
      </c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N128" s="2" t="n"/>
      <c r="O128" s="2" t="n"/>
      <c r="P128" s="2" t="n"/>
      <c r="Q128" s="2" t="n"/>
      <c r="R128" s="2" t="n"/>
      <c r="S128" s="2" t="n"/>
      <c r="T128" s="2" t="n"/>
      <c r="U128" s="2" t="n"/>
    </row>
    <row r="129" ht="15" customHeight="1" s="74">
      <c r="A129" s="14" t="n"/>
      <c r="B129" s="14" t="n"/>
      <c r="C129" s="14" t="n"/>
      <c r="D129" s="14" t="n"/>
      <c r="E129" s="14" t="n"/>
      <c r="F129" s="14" t="n"/>
      <c r="G129" s="14" t="n"/>
      <c r="H129" s="14" t="n"/>
      <c r="I129" s="14" t="n"/>
      <c r="J129" s="14" t="n"/>
      <c r="K129" s="14" t="n"/>
      <c r="L129" s="14" t="n"/>
      <c r="N129" s="14">
        <f>Data!N13</f>
        <v/>
      </c>
      <c r="O129" s="14">
        <f>Data!O13</f>
        <v/>
      </c>
      <c r="P129" s="14">
        <f>Data!P13</f>
        <v/>
      </c>
      <c r="Q129" s="14">
        <f>Data!Q13</f>
        <v/>
      </c>
      <c r="R129" s="14">
        <f>Data!R13</f>
        <v/>
      </c>
      <c r="S129" s="14">
        <f>Data!S13</f>
        <v/>
      </c>
      <c r="T129" s="14">
        <f>Data!T13</f>
        <v/>
      </c>
      <c r="U129" s="14">
        <f>Data!U13</f>
        <v/>
      </c>
    </row>
    <row r="130" ht="15" customHeight="1" s="74">
      <c r="A130" s="17" t="inlineStr">
        <is>
          <t>Revenue QoQ</t>
        </is>
      </c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N130" s="81" t="n"/>
      <c r="O130" s="81">
        <f>IFERROR((Data!O14-Data!N14)/ABS(Data!N14),"-")</f>
        <v/>
      </c>
      <c r="P130" s="81">
        <f>IFERROR((Data!P14-Data!O14)/ABS(Data!O14),"-")</f>
        <v/>
      </c>
      <c r="Q130" s="81">
        <f>IFERROR((Data!Q14-Data!P14)/ABS(Data!P14),"-")</f>
        <v/>
      </c>
      <c r="R130" s="81">
        <f>IFERROR((Data!R14-Data!Q14)/ABS(Data!Q14),"-")</f>
        <v/>
      </c>
      <c r="S130" s="81">
        <f>IFERROR((Data!S14-Data!R14)/ABS(Data!R14),"-")</f>
        <v/>
      </c>
      <c r="T130" s="81">
        <f>IFERROR((Data!T14-Data!S14)/ABS(Data!S14),"-")</f>
        <v/>
      </c>
      <c r="U130" s="81">
        <f>IFERROR((Data!U14-Data!T14)/ABS(Data!T14),"-")</f>
        <v/>
      </c>
    </row>
    <row r="131" ht="15" customHeight="1" s="74">
      <c r="A131" s="15" t="inlineStr">
        <is>
          <t>Net Income QoQ</t>
        </is>
      </c>
      <c r="B131" s="10" t="n"/>
      <c r="C131" s="10" t="n"/>
      <c r="D131" s="10" t="n"/>
      <c r="E131" s="10" t="n"/>
      <c r="F131" s="10" t="n"/>
      <c r="G131" s="10" t="n"/>
      <c r="H131" s="10" t="n"/>
      <c r="I131" s="10" t="n"/>
      <c r="J131" s="10" t="n"/>
      <c r="K131" s="10" t="n"/>
      <c r="L131" s="10" t="n"/>
      <c r="N131" s="84" t="n"/>
      <c r="O131" s="84">
        <f>IFERROR((Data!O26-Data!N26)/ABS(Data!N26),"-")</f>
        <v/>
      </c>
      <c r="P131" s="84">
        <f>IFERROR((Data!P26-Data!O26)/ABS(Data!O26),"-")</f>
        <v/>
      </c>
      <c r="Q131" s="84">
        <f>IFERROR((Data!Q26-Data!P26)/ABS(Data!P26),"-")</f>
        <v/>
      </c>
      <c r="R131" s="84">
        <f>IFERROR((Data!R26-Data!Q26)/ABS(Data!Q26),"-")</f>
        <v/>
      </c>
      <c r="S131" s="84">
        <f>IFERROR((Data!S26-Data!R26)/ABS(Data!R26),"-")</f>
        <v/>
      </c>
      <c r="T131" s="84">
        <f>IFERROR((Data!T26-Data!S26)/ABS(Data!S26),"-")</f>
        <v/>
      </c>
      <c r="U131" s="84">
        <f>IFERROR((Data!U26-Data!T26)/ABS(Data!T26),"-")</f>
        <v/>
      </c>
    </row>
    <row r="132" ht="15" customHeight="1" s="74">
      <c r="A132" s="17" t="inlineStr">
        <is>
          <t>EPS QoQ</t>
        </is>
      </c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N132" s="2" t="n"/>
      <c r="O132" s="2">
        <f>IFERROR((Data!O27-Data!N27)/ABS(Data!N27),"-")</f>
        <v/>
      </c>
      <c r="P132" s="2">
        <f>IFERROR((Data!P27-Data!O27)/ABS(Data!O27),"-")</f>
        <v/>
      </c>
      <c r="Q132" s="2">
        <f>IFERROR((Data!Q27-Data!P27)/ABS(Data!P27),"-")</f>
        <v/>
      </c>
      <c r="R132" s="2">
        <f>IFERROR((Data!R27-Data!Q27)/ABS(Data!Q27),"-")</f>
        <v/>
      </c>
      <c r="S132" s="2">
        <f>IFERROR((Data!S27-Data!R27)/ABS(Data!R27),"-")</f>
        <v/>
      </c>
      <c r="T132" s="2">
        <f>IFERROR((Data!T27-Data!S27)/ABS(Data!S27),"-")</f>
        <v/>
      </c>
      <c r="U132" s="2">
        <f>IFERROR((Data!U27-Data!T27)/ABS(Data!T27),"-")</f>
        <v/>
      </c>
    </row>
    <row r="133" ht="15" customHeight="1" s="74">
      <c r="A133" s="15" t="inlineStr">
        <is>
          <t>EBITDA QoQ</t>
        </is>
      </c>
      <c r="B133" s="10" t="n"/>
      <c r="C133" s="10" t="n"/>
      <c r="D133" s="10" t="n"/>
      <c r="E133" s="10" t="n"/>
      <c r="F133" s="10" t="n"/>
      <c r="G133" s="10" t="n"/>
      <c r="H133" s="10" t="n"/>
      <c r="I133" s="10" t="n"/>
      <c r="J133" s="10" t="n"/>
      <c r="K133" s="10" t="n"/>
      <c r="L133" s="10" t="n"/>
      <c r="N133" s="84" t="n"/>
      <c r="O133" s="84">
        <f>IFERROR((Data!O20-Data!N20)/ABS(Data!N20),"-")</f>
        <v/>
      </c>
      <c r="P133" s="84">
        <f>IFERROR((Data!P20-Data!O20)/ABS(Data!O20),"-")</f>
        <v/>
      </c>
      <c r="Q133" s="84">
        <f>IFERROR((Data!Q20-Data!P20)/ABS(Data!P20),"-")</f>
        <v/>
      </c>
      <c r="R133" s="84">
        <f>IFERROR((Data!R20-Data!Q20)/ABS(Data!Q20),"-")</f>
        <v/>
      </c>
      <c r="S133" s="84">
        <f>IFERROR((Data!S20-Data!R20)/ABS(Data!R20),"-")</f>
        <v/>
      </c>
      <c r="T133" s="84">
        <f>IFERROR((Data!T20-Data!S20)/ABS(Data!S20),"-")</f>
        <v/>
      </c>
      <c r="U133" s="84">
        <f>IFERROR((Data!U20-Data!T20)/ABS(Data!T20),"-")</f>
        <v/>
      </c>
    </row>
    <row r="134" ht="15" customHeight="1" s="74">
      <c r="A134" s="17" t="inlineStr">
        <is>
          <t>FCF QoQ</t>
        </is>
      </c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N134" s="81" t="n"/>
      <c r="O134" s="81">
        <f>IFERROR((Data!O53-Data!N53)/ABS(Data!N53),"-")</f>
        <v/>
      </c>
      <c r="P134" s="81">
        <f>IFERROR((Data!P53-Data!O53)/ABS(Data!O53),"-")</f>
        <v/>
      </c>
      <c r="Q134" s="81">
        <f>IFERROR((Data!Q53-Data!P53)/ABS(Data!P53),"-")</f>
        <v/>
      </c>
      <c r="R134" s="81">
        <f>IFERROR((Data!R53-Data!Q53)/ABS(Data!Q53),"-")</f>
        <v/>
      </c>
      <c r="S134" s="81">
        <f>IFERROR((Data!S53-Data!R53)/ABS(Data!R53),"-")</f>
        <v/>
      </c>
      <c r="T134" s="81">
        <f>IFERROR((Data!T53-Data!S53)/ABS(Data!S53),"-")</f>
        <v/>
      </c>
      <c r="U134" s="81">
        <f>IFERROR((Data!U53-Data!T53)/ABS(Data!T53),"-")</f>
        <v/>
      </c>
    </row>
    <row r="135" ht="15" customHeight="1" s="74">
      <c r="A135" s="10" t="n"/>
      <c r="B135" s="10" t="n"/>
      <c r="C135" s="10" t="n"/>
      <c r="D135" s="10" t="n"/>
      <c r="E135" s="10" t="n"/>
      <c r="F135" s="10" t="n"/>
      <c r="G135" s="10" t="n"/>
      <c r="H135" s="10" t="n"/>
      <c r="I135" s="10" t="n"/>
      <c r="J135" s="10" t="n"/>
      <c r="K135" s="10" t="n"/>
      <c r="L135" s="10" t="n"/>
      <c r="N135" s="10" t="n"/>
      <c r="O135" s="10" t="n"/>
      <c r="P135" s="10" t="n"/>
      <c r="Q135" s="10" t="n"/>
      <c r="R135" s="10" t="n"/>
      <c r="S135" s="10" t="n"/>
      <c r="T135" s="10" t="n"/>
      <c r="U135" s="10" t="n"/>
    </row>
    <row r="136" ht="15" customHeight="1" s="74">
      <c r="A136" s="36" t="inlineStr">
        <is>
          <t>─ Year-over-Year (Quarter) ─</t>
        </is>
      </c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N136" s="2" t="n"/>
      <c r="O136" s="2" t="n"/>
      <c r="P136" s="2" t="n"/>
      <c r="Q136" s="2" t="n"/>
      <c r="R136" s="2" t="n"/>
      <c r="S136" s="2" t="n"/>
      <c r="T136" s="2" t="n"/>
      <c r="U136" s="2" t="n"/>
    </row>
    <row r="137" ht="15" customHeight="1" s="74">
      <c r="A137" s="15" t="inlineStr">
        <is>
          <t>Revenue YoY-Q</t>
        </is>
      </c>
      <c r="B137" s="10" t="n"/>
      <c r="C137" s="10" t="n"/>
      <c r="D137" s="10" t="n"/>
      <c r="E137" s="10" t="n"/>
      <c r="F137" s="10" t="n"/>
      <c r="G137" s="10" t="n"/>
      <c r="H137" s="10" t="n"/>
      <c r="I137" s="10" t="n"/>
      <c r="J137" s="10" t="n"/>
      <c r="K137" s="10" t="n"/>
      <c r="L137" s="10" t="n"/>
      <c r="N137" s="84" t="n"/>
      <c r="O137" s="84" t="n"/>
      <c r="P137" s="84" t="n"/>
      <c r="Q137" s="84" t="n"/>
      <c r="R137" s="84">
        <f>IFERROR((Data!R14-Data!N14)/ABS(Data!N14),"-")</f>
        <v/>
      </c>
      <c r="S137" s="84">
        <f>IFERROR((Data!S14-Data!O14)/ABS(Data!O14),"-")</f>
        <v/>
      </c>
      <c r="T137" s="84">
        <f>IFERROR((Data!T14-Data!P14)/ABS(Data!P14),"-")</f>
        <v/>
      </c>
      <c r="U137" s="84">
        <f>IFERROR((Data!U14-Data!Q14)/ABS(Data!Q14),"-")</f>
        <v/>
      </c>
    </row>
    <row r="138" ht="15" customHeight="1" s="74">
      <c r="A138" s="17" t="inlineStr">
        <is>
          <t>Net Income YoY-Q</t>
        </is>
      </c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N138" s="2" t="n"/>
      <c r="O138" s="2" t="n"/>
      <c r="P138" s="2" t="n"/>
      <c r="Q138" s="2" t="n"/>
      <c r="R138" s="2">
        <f>IFERROR((Data!R26-Data!N26)/ABS(Data!N26),"-")</f>
        <v/>
      </c>
      <c r="S138" s="2">
        <f>IFERROR((Data!S26-Data!O26)/ABS(Data!O26),"-")</f>
        <v/>
      </c>
      <c r="T138" s="2">
        <f>IFERROR((Data!T26-Data!P26)/ABS(Data!P26),"-")</f>
        <v/>
      </c>
      <c r="U138" s="2">
        <f>IFERROR((Data!U26-Data!Q26)/ABS(Data!Q26),"-")</f>
        <v/>
      </c>
    </row>
    <row r="139" ht="15" customHeight="1" s="74">
      <c r="A139" s="15" t="inlineStr">
        <is>
          <t>EPS YoY-Q</t>
        </is>
      </c>
      <c r="B139" s="10" t="n"/>
      <c r="C139" s="10" t="n"/>
      <c r="D139" s="10" t="n"/>
      <c r="E139" s="10" t="n"/>
      <c r="F139" s="10" t="n"/>
      <c r="G139" s="10" t="n"/>
      <c r="H139" s="10" t="n"/>
      <c r="I139" s="10" t="n"/>
      <c r="J139" s="10" t="n"/>
      <c r="K139" s="10" t="n"/>
      <c r="L139" s="10" t="n"/>
      <c r="N139" s="84" t="n"/>
      <c r="O139" s="84" t="n"/>
      <c r="P139" s="84" t="n"/>
      <c r="Q139" s="84" t="n"/>
      <c r="R139" s="84">
        <f>IFERROR((Data!R27-Data!N27)/ABS(Data!N27),"-")</f>
        <v/>
      </c>
      <c r="S139" s="84">
        <f>IFERROR((Data!S27-Data!O27)/ABS(Data!O27),"-")</f>
        <v/>
      </c>
      <c r="T139" s="84">
        <f>IFERROR((Data!T27-Data!P27)/ABS(Data!P27),"-")</f>
        <v/>
      </c>
      <c r="U139" s="84">
        <f>IFERROR((Data!U27-Data!Q27)/ABS(Data!Q27),"-")</f>
        <v/>
      </c>
    </row>
    <row r="140" ht="15" customHeight="1" s="74">
      <c r="A140" s="17" t="inlineStr">
        <is>
          <t>EBITDA YoY-Q</t>
        </is>
      </c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N140" s="81" t="n"/>
      <c r="O140" s="81" t="n"/>
      <c r="P140" s="81" t="n"/>
      <c r="Q140" s="81" t="n"/>
      <c r="R140" s="81">
        <f>IFERROR((Data!R20-Data!N20)/ABS(Data!N20),"-")</f>
        <v/>
      </c>
      <c r="S140" s="81">
        <f>IFERROR((Data!S20-Data!O20)/ABS(Data!O20),"-")</f>
        <v/>
      </c>
      <c r="T140" s="81">
        <f>IFERROR((Data!T20-Data!P20)/ABS(Data!P20),"-")</f>
        <v/>
      </c>
      <c r="U140" s="81">
        <f>IFERROR((Data!U20-Data!Q20)/ABS(Data!Q20),"-")</f>
        <v/>
      </c>
    </row>
    <row r="141" ht="15" customHeight="1" s="74">
      <c r="A141" s="15" t="inlineStr">
        <is>
          <t>FCF YoY-Q</t>
        </is>
      </c>
      <c r="B141" s="10" t="n"/>
      <c r="C141" s="10" t="n"/>
      <c r="D141" s="10" t="n"/>
      <c r="E141" s="10" t="n"/>
      <c r="F141" s="10" t="n"/>
      <c r="G141" s="10" t="n"/>
      <c r="H141" s="10" t="n"/>
      <c r="I141" s="10" t="n"/>
      <c r="J141" s="10" t="n"/>
      <c r="K141" s="10" t="n"/>
      <c r="L141" s="10" t="n"/>
      <c r="N141" s="84" t="n"/>
      <c r="O141" s="84" t="n"/>
      <c r="P141" s="84" t="n"/>
      <c r="Q141" s="84" t="n"/>
      <c r="R141" s="84">
        <f>IFERROR((Data!R53-Data!N53)/ABS(Data!N53),"-")</f>
        <v/>
      </c>
      <c r="S141" s="84">
        <f>IFERROR((Data!S53-Data!O53)/ABS(Data!O53),"-")</f>
        <v/>
      </c>
      <c r="T141" s="84">
        <f>IFERROR((Data!T53-Data!P53)/ABS(Data!P53),"-")</f>
        <v/>
      </c>
      <c r="U141" s="84">
        <f>IFERROR((Data!U53-Data!Q53)/ABS(Data!Q53),"-")</f>
        <v/>
      </c>
    </row>
    <row r="142" ht="15" customHeight="1" s="74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N142" s="2" t="n"/>
      <c r="O142" s="2" t="n"/>
      <c r="P142" s="2" t="n"/>
      <c r="Q142" s="2" t="n"/>
      <c r="R142" s="2" t="n"/>
      <c r="S142" s="2" t="n"/>
      <c r="T142" s="2" t="n"/>
      <c r="U142" s="2" t="n"/>
    </row>
    <row r="143" ht="15" customHeight="1" s="74">
      <c r="A143" s="37" t="inlineStr">
        <is>
          <t>─ Quarterly Margins ─</t>
        </is>
      </c>
      <c r="B143" s="10" t="n"/>
      <c r="C143" s="10" t="n"/>
      <c r="D143" s="10" t="n"/>
      <c r="E143" s="10" t="n"/>
      <c r="F143" s="10" t="n"/>
      <c r="G143" s="10" t="n"/>
      <c r="H143" s="10" t="n"/>
      <c r="I143" s="10" t="n"/>
      <c r="J143" s="10" t="n"/>
      <c r="K143" s="10" t="n"/>
      <c r="L143" s="10" t="n"/>
      <c r="N143" s="10" t="n"/>
      <c r="O143" s="10" t="n"/>
      <c r="P143" s="10" t="n"/>
      <c r="Q143" s="10" t="n"/>
      <c r="R143" s="10" t="n"/>
      <c r="S143" s="10" t="n"/>
      <c r="T143" s="10" t="n"/>
      <c r="U143" s="10" t="n"/>
    </row>
    <row r="144" ht="15" customHeight="1" s="74">
      <c r="A144" s="17" t="inlineStr">
        <is>
          <t>Gross Margin (Q)</t>
        </is>
      </c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N144" s="2">
        <f>IFERROR(Data!N16/Data!N14,"-")</f>
        <v/>
      </c>
      <c r="O144" s="2">
        <f>IFERROR(Data!O16/Data!O14,"-")</f>
        <v/>
      </c>
      <c r="P144" s="2">
        <f>IFERROR(Data!P16/Data!P14,"-")</f>
        <v/>
      </c>
      <c r="Q144" s="2">
        <f>IFERROR(Data!Q16/Data!Q14,"-")</f>
        <v/>
      </c>
      <c r="R144" s="2">
        <f>IFERROR(Data!R16/Data!R14,"-")</f>
        <v/>
      </c>
      <c r="S144" s="2">
        <f>IFERROR(Data!S16/Data!S14,"-")</f>
        <v/>
      </c>
      <c r="T144" s="2">
        <f>IFERROR(Data!T16/Data!T14,"-")</f>
        <v/>
      </c>
      <c r="U144" s="2">
        <f>IFERROR(Data!U16/Data!U14,"-")</f>
        <v/>
      </c>
    </row>
    <row r="145" ht="15" customHeight="1" s="74">
      <c r="A145" s="15" t="inlineStr">
        <is>
          <t>EBITDA Margin (Q)</t>
        </is>
      </c>
      <c r="B145" s="10" t="n"/>
      <c r="C145" s="10" t="n"/>
      <c r="D145" s="10" t="n"/>
      <c r="E145" s="10" t="n"/>
      <c r="F145" s="10" t="n"/>
      <c r="G145" s="10" t="n"/>
      <c r="H145" s="10" t="n"/>
      <c r="I145" s="10" t="n"/>
      <c r="J145" s="10" t="n"/>
      <c r="K145" s="10" t="n"/>
      <c r="L145" s="10" t="n"/>
      <c r="N145" s="84">
        <f>IFERROR(Data!N20/Data!N14,"-")</f>
        <v/>
      </c>
      <c r="O145" s="84">
        <f>IFERROR(Data!O20/Data!O14,"-")</f>
        <v/>
      </c>
      <c r="P145" s="84">
        <f>IFERROR(Data!P20/Data!P14,"-")</f>
        <v/>
      </c>
      <c r="Q145" s="84">
        <f>IFERROR(Data!Q20/Data!Q14,"-")</f>
        <v/>
      </c>
      <c r="R145" s="84">
        <f>IFERROR(Data!R20/Data!R14,"-")</f>
        <v/>
      </c>
      <c r="S145" s="84">
        <f>IFERROR(Data!S20/Data!S14,"-")</f>
        <v/>
      </c>
      <c r="T145" s="84">
        <f>IFERROR(Data!T20/Data!T14,"-")</f>
        <v/>
      </c>
      <c r="U145" s="84">
        <f>IFERROR(Data!U20/Data!U14,"-")</f>
        <v/>
      </c>
    </row>
    <row r="146" ht="15" customHeight="1" s="74">
      <c r="A146" s="17" t="inlineStr">
        <is>
          <t>Operating Margin (Q)</t>
        </is>
      </c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N146" s="81">
        <f>IFERROR(Data!N22/Data!N14,"-")</f>
        <v/>
      </c>
      <c r="O146" s="81">
        <f>IFERROR(Data!O22/Data!O14,"-")</f>
        <v/>
      </c>
      <c r="P146" s="81">
        <f>IFERROR(Data!P22/Data!P14,"-")</f>
        <v/>
      </c>
      <c r="Q146" s="81">
        <f>IFERROR(Data!Q22/Data!Q14,"-")</f>
        <v/>
      </c>
      <c r="R146" s="81">
        <f>IFERROR(Data!R22/Data!R14,"-")</f>
        <v/>
      </c>
      <c r="S146" s="81">
        <f>IFERROR(Data!S22/Data!S14,"-")</f>
        <v/>
      </c>
      <c r="T146" s="81">
        <f>IFERROR(Data!T22/Data!T14,"-")</f>
        <v/>
      </c>
      <c r="U146" s="81">
        <f>IFERROR(Data!U22/Data!U14,"-")</f>
        <v/>
      </c>
    </row>
    <row r="147" ht="15" customHeight="1" s="74">
      <c r="A147" s="15" t="inlineStr">
        <is>
          <t>Net Margin (Q)</t>
        </is>
      </c>
      <c r="B147" s="10" t="n"/>
      <c r="C147" s="10" t="n"/>
      <c r="D147" s="10" t="n"/>
      <c r="E147" s="10" t="n"/>
      <c r="F147" s="10" t="n"/>
      <c r="G147" s="10" t="n"/>
      <c r="H147" s="10" t="n"/>
      <c r="I147" s="10" t="n"/>
      <c r="J147" s="10" t="n"/>
      <c r="K147" s="10" t="n"/>
      <c r="L147" s="10" t="n"/>
      <c r="N147" s="84">
        <f>IFERROR(Data!N26/Data!N14,"-")</f>
        <v/>
      </c>
      <c r="O147" s="84">
        <f>IFERROR(Data!O26/Data!O14,"-")</f>
        <v/>
      </c>
      <c r="P147" s="84">
        <f>IFERROR(Data!P26/Data!P14,"-")</f>
        <v/>
      </c>
      <c r="Q147" s="84">
        <f>IFERROR(Data!Q26/Data!Q14,"-")</f>
        <v/>
      </c>
      <c r="R147" s="84">
        <f>IFERROR(Data!R26/Data!R14,"-")</f>
        <v/>
      </c>
      <c r="S147" s="84">
        <f>IFERROR(Data!S26/Data!S14,"-")</f>
        <v/>
      </c>
      <c r="T147" s="84">
        <f>IFERROR(Data!T26/Data!T14,"-")</f>
        <v/>
      </c>
      <c r="U147" s="84">
        <f>IFERROR(Data!U26/Data!U14,"-")</f>
        <v/>
      </c>
    </row>
    <row r="148" ht="15" customHeight="1" s="74">
      <c r="A148" s="17" t="inlineStr">
        <is>
          <t>FCF Margin (Q)</t>
        </is>
      </c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N148" s="81">
        <f>IFERROR(Data!N53/Data!N14,"-")</f>
        <v/>
      </c>
      <c r="O148" s="81">
        <f>IFERROR(Data!O53/Data!O14,"-")</f>
        <v/>
      </c>
      <c r="P148" s="81">
        <f>IFERROR(Data!P53/Data!P14,"-")</f>
        <v/>
      </c>
      <c r="Q148" s="81">
        <f>IFERROR(Data!Q53/Data!Q14,"-")</f>
        <v/>
      </c>
      <c r="R148" s="81">
        <f>IFERROR(Data!R53/Data!R14,"-")</f>
        <v/>
      </c>
      <c r="S148" s="81">
        <f>IFERROR(Data!S53/Data!S14,"-")</f>
        <v/>
      </c>
      <c r="T148" s="81">
        <f>IFERROR(Data!T53/Data!T14,"-")</f>
        <v/>
      </c>
      <c r="U148" s="81">
        <f>IFERROR(Data!U53/Data!U14,"-")</f>
        <v/>
      </c>
    </row>
    <row r="149" ht="15" customHeight="1" s="74">
      <c r="A149" s="10" t="n"/>
      <c r="B149" s="10" t="n"/>
      <c r="C149" s="10" t="n"/>
      <c r="D149" s="10" t="n"/>
      <c r="E149" s="10" t="n"/>
      <c r="F149" s="10" t="n"/>
      <c r="G149" s="10" t="n"/>
      <c r="H149" s="10" t="n"/>
      <c r="I149" s="10" t="n"/>
      <c r="J149" s="10" t="n"/>
      <c r="K149" s="10" t="n"/>
      <c r="L149" s="10" t="n"/>
      <c r="N149" s="10" t="n"/>
      <c r="O149" s="10" t="n"/>
      <c r="P149" s="10" t="n"/>
      <c r="Q149" s="10" t="n"/>
      <c r="R149" s="10" t="n"/>
      <c r="S149" s="10" t="n"/>
      <c r="T149" s="10" t="n"/>
      <c r="U149" s="10" t="n"/>
    </row>
    <row r="150" ht="15" customHeight="1" s="74">
      <c r="A150" s="2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N150" s="2" t="n"/>
      <c r="O150" s="2" t="n"/>
      <c r="P150" s="2" t="n"/>
      <c r="Q150" s="2" t="n"/>
      <c r="R150" s="2" t="n"/>
      <c r="S150" s="2" t="n"/>
      <c r="T150" s="2" t="n"/>
      <c r="U150" s="2" t="n"/>
    </row>
    <row r="151" ht="15" customHeight="1" s="74">
      <c r="A151" s="30" t="inlineStr">
        <is>
          <t>COMPOUND ANNUAL GROWTH RATES (CAGR)</t>
        </is>
      </c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N151" s="2" t="n"/>
      <c r="O151" s="2" t="n"/>
      <c r="P151" s="2" t="n"/>
      <c r="Q151" s="2" t="n"/>
      <c r="R151" s="2" t="n"/>
      <c r="S151" s="2" t="n"/>
      <c r="T151" s="2" t="n"/>
      <c r="U151" s="2" t="n"/>
    </row>
    <row r="152" ht="15" customHeight="1" s="74">
      <c r="A152" s="38" t="inlineStr">
        <is>
          <t>Metric</t>
        </is>
      </c>
      <c r="B152" s="38" t="inlineStr">
        <is>
          <t>3Y CAGR</t>
        </is>
      </c>
      <c r="C152" s="38" t="inlineStr">
        <is>
          <t>5Y CAGR</t>
        </is>
      </c>
      <c r="D152" s="38" t="inlineStr">
        <is>
          <t>10Y CAGR</t>
        </is>
      </c>
      <c r="E152" s="2" t="n"/>
      <c r="F152" s="2" t="n"/>
      <c r="G152" s="2" t="n"/>
      <c r="H152" s="2" t="n"/>
      <c r="I152" s="2" t="n"/>
      <c r="J152" s="2" t="n"/>
      <c r="K152" s="2" t="n"/>
      <c r="L152" s="2" t="n"/>
      <c r="N152" s="2" t="n"/>
      <c r="O152" s="2" t="n"/>
      <c r="P152" s="2" t="n"/>
      <c r="Q152" s="2" t="n"/>
      <c r="R152" s="2" t="n"/>
      <c r="S152" s="2" t="n"/>
      <c r="T152" s="2" t="n"/>
      <c r="U152" s="2" t="n"/>
    </row>
    <row r="153" ht="15" customHeight="1" s="74">
      <c r="A153" s="15" t="inlineStr">
        <is>
          <t>Revenue</t>
        </is>
      </c>
      <c r="B153" s="84">
        <f>IFERROR((Data!L14/Data!I14)^(1/3)-1,"-")</f>
        <v/>
      </c>
      <c r="C153" s="84">
        <f>IFERROR((Data!L14/Data!G14)^(1/5)-1,"-")</f>
        <v/>
      </c>
      <c r="D153" s="84">
        <f>IFERROR((Data!L14/Data!B14)^(1/10)-1,"-")</f>
        <v/>
      </c>
      <c r="E153" s="10" t="n"/>
      <c r="F153" s="10" t="n"/>
      <c r="G153" s="10" t="n"/>
      <c r="H153" s="10" t="n"/>
      <c r="I153" s="10" t="n"/>
      <c r="J153" s="10" t="n"/>
      <c r="K153" s="10" t="n"/>
      <c r="L153" s="10" t="n"/>
      <c r="N153" s="10" t="n"/>
      <c r="O153" s="10" t="n"/>
      <c r="P153" s="10" t="n"/>
      <c r="Q153" s="10" t="n"/>
      <c r="R153" s="10" t="n"/>
      <c r="S153" s="10" t="n"/>
      <c r="T153" s="10" t="n"/>
      <c r="U153" s="10" t="n"/>
    </row>
    <row r="154" ht="15" customHeight="1" s="74">
      <c r="A154" s="17" t="inlineStr">
        <is>
          <t>EBITDA</t>
        </is>
      </c>
      <c r="B154" s="81">
        <f>IFERROR((Data!L20/Data!I20)^(1/3)-1,"-")</f>
        <v/>
      </c>
      <c r="C154" s="81">
        <f>IFERROR((Data!L20/Data!G20)^(1/5)-1,"-")</f>
        <v/>
      </c>
      <c r="D154" s="81">
        <f>IFERROR((Data!L20/Data!B20)^(1/10)-1,"-")</f>
        <v/>
      </c>
      <c r="E154" s="2" t="n"/>
      <c r="F154" s="2" t="n"/>
      <c r="G154" s="2" t="n"/>
      <c r="H154" s="2" t="n"/>
      <c r="I154" s="2" t="n"/>
      <c r="J154" s="2" t="n"/>
      <c r="K154" s="2" t="n"/>
      <c r="L154" s="2" t="n"/>
      <c r="N154" s="2" t="n"/>
      <c r="O154" s="2" t="n"/>
      <c r="P154" s="2" t="n"/>
      <c r="Q154" s="2" t="n"/>
      <c r="R154" s="2" t="n"/>
      <c r="S154" s="2" t="n"/>
      <c r="T154" s="2" t="n"/>
      <c r="U154" s="2" t="n"/>
    </row>
    <row r="155" ht="15" customHeight="1" s="74">
      <c r="A155" s="15" t="inlineStr">
        <is>
          <t>Net Income</t>
        </is>
      </c>
      <c r="B155" s="84">
        <f>IFERROR((Data!L26/Data!I26)^(1/3)-1,"-")</f>
        <v/>
      </c>
      <c r="C155" s="84">
        <f>IFERROR((Data!L26/Data!G26)^(1/5)-1,"-")</f>
        <v/>
      </c>
      <c r="D155" s="84">
        <f>IFERROR((Data!L26/Data!B26)^(1/10)-1,"-")</f>
        <v/>
      </c>
      <c r="E155" s="10" t="n"/>
      <c r="F155" s="10" t="n"/>
      <c r="G155" s="10" t="n"/>
      <c r="H155" s="10" t="n"/>
      <c r="I155" s="10" t="n"/>
      <c r="J155" s="10" t="n"/>
      <c r="K155" s="10" t="n"/>
      <c r="L155" s="10" t="n"/>
      <c r="N155" s="10" t="n"/>
      <c r="O155" s="10" t="n"/>
      <c r="P155" s="10" t="n"/>
      <c r="Q155" s="10" t="n"/>
      <c r="R155" s="10" t="n"/>
      <c r="S155" s="10" t="n"/>
      <c r="T155" s="10" t="n"/>
      <c r="U155" s="10" t="n"/>
    </row>
    <row r="156" ht="15" customHeight="1" s="74">
      <c r="A156" s="17" t="inlineStr">
        <is>
          <t>Diluted EPS</t>
        </is>
      </c>
      <c r="B156" s="81">
        <f>IFERROR((Data!L27/Data!I27)^(1/3)-1,"-")</f>
        <v/>
      </c>
      <c r="C156" s="81">
        <f>IFERROR((Data!L27/Data!G27)^(1/5)-1,"-")</f>
        <v/>
      </c>
      <c r="D156" s="81">
        <f>IFERROR((Data!L27/Data!B27)^(1/10)-1,"-")</f>
        <v/>
      </c>
      <c r="E156" s="2" t="n"/>
      <c r="F156" s="2" t="n"/>
      <c r="G156" s="2" t="n"/>
      <c r="H156" s="2" t="n"/>
      <c r="I156" s="2" t="n"/>
      <c r="J156" s="2" t="n"/>
      <c r="K156" s="2" t="n"/>
      <c r="L156" s="2" t="n"/>
      <c r="N156" s="2" t="n"/>
      <c r="O156" s="2" t="n"/>
      <c r="P156" s="2" t="n"/>
      <c r="Q156" s="2" t="n"/>
      <c r="R156" s="2" t="n"/>
      <c r="S156" s="2" t="n"/>
      <c r="T156" s="2" t="n"/>
      <c r="U156" s="2" t="n"/>
    </row>
    <row r="157" ht="15" customHeight="1" s="74">
      <c r="A157" s="15" t="inlineStr">
        <is>
          <t>Free Cash Flow</t>
        </is>
      </c>
      <c r="B157" s="84">
        <f>IFERROR((Data!L53/Data!I53)^(1/3)-1,"-")</f>
        <v/>
      </c>
      <c r="C157" s="84">
        <f>IFERROR((Data!L53/Data!G53)^(1/5)-1,"-")</f>
        <v/>
      </c>
      <c r="D157" s="84">
        <f>IFERROR((Data!L53/Data!B53)^(1/10)-1,"-")</f>
        <v/>
      </c>
      <c r="E157" s="10" t="n"/>
      <c r="F157" s="10" t="n"/>
      <c r="G157" s="10" t="n"/>
      <c r="H157" s="10" t="n"/>
      <c r="I157" s="10" t="n"/>
      <c r="J157" s="10" t="n"/>
      <c r="K157" s="10" t="n"/>
      <c r="L157" s="10" t="n"/>
      <c r="N157" s="10" t="n"/>
      <c r="O157" s="10" t="n"/>
      <c r="P157" s="10" t="n"/>
      <c r="Q157" s="10" t="n"/>
      <c r="R157" s="10" t="n"/>
      <c r="S157" s="10" t="n"/>
      <c r="T157" s="10" t="n"/>
      <c r="U157" s="10" t="n"/>
    </row>
    <row r="158" ht="15" customHeight="1" s="74">
      <c r="A158" s="17" t="inlineStr">
        <is>
          <t>Operating Cash Flow</t>
        </is>
      </c>
      <c r="B158" s="81">
        <f>IFERROR((Data!L51/Data!I51)^(1/3)-1,"-")</f>
        <v/>
      </c>
      <c r="C158" s="81">
        <f>IFERROR((Data!L51/Data!G51)^(1/5)-1,"-")</f>
        <v/>
      </c>
      <c r="D158" s="81">
        <f>IFERROR((Data!L51/Data!B51)^(1/10)-1,"-")</f>
        <v/>
      </c>
      <c r="E158" s="2" t="n"/>
      <c r="F158" s="2" t="n"/>
      <c r="G158" s="2" t="n"/>
      <c r="H158" s="2" t="n"/>
      <c r="I158" s="2" t="n"/>
      <c r="J158" s="2" t="n"/>
      <c r="K158" s="2" t="n"/>
      <c r="L158" s="2" t="n"/>
      <c r="N158" s="2" t="n"/>
      <c r="O158" s="2" t="n"/>
      <c r="P158" s="2" t="n"/>
      <c r="Q158" s="2" t="n"/>
      <c r="R158" s="2" t="n"/>
      <c r="S158" s="2" t="n"/>
      <c r="T158" s="2" t="n"/>
      <c r="U158" s="2" t="n"/>
    </row>
    <row r="159" ht="15" customHeight="1" s="74">
      <c r="A159" s="15" t="inlineStr">
        <is>
          <t>Dividends / Share</t>
        </is>
      </c>
      <c r="B159" s="84">
        <f>IFERROR((ABS(Data!L55)/Data!L28/(ABS(Data!I55)/Data!I28))^(1/3)-1,"-")</f>
        <v/>
      </c>
      <c r="C159" s="84">
        <f>IFERROR((ABS(Data!L55)/Data!L28/(ABS(Data!G55)/Data!G28))^(1/5)-1,"-")</f>
        <v/>
      </c>
      <c r="D159" s="84">
        <f>IFERROR((ABS(Data!L55)/Data!L28/(ABS(Data!B55)/Data!B28))^(1/10)-1,"-")</f>
        <v/>
      </c>
      <c r="E159" s="10" t="n"/>
      <c r="F159" s="10" t="n"/>
      <c r="G159" s="10" t="n"/>
      <c r="H159" s="10" t="n"/>
      <c r="I159" s="10" t="n"/>
      <c r="J159" s="10" t="n"/>
      <c r="K159" s="10" t="n"/>
      <c r="L159" s="10" t="n"/>
      <c r="N159" s="10" t="n"/>
      <c r="O159" s="10" t="n"/>
      <c r="P159" s="10" t="n"/>
      <c r="Q159" s="10" t="n"/>
      <c r="R159" s="10" t="n"/>
      <c r="S159" s="10" t="n"/>
      <c r="T159" s="10" t="n"/>
      <c r="U159" s="10" t="n"/>
    </row>
    <row r="160" ht="15" customHeight="1" s="74">
      <c r="A160" s="15" t="inlineStr">
        <is>
          <t>Shares Outstanding</t>
        </is>
      </c>
      <c r="B160" s="84">
        <f>IFERROR((Data!L28/Data!I28)^(1/3)-1,"-")</f>
        <v/>
      </c>
      <c r="C160" s="84">
        <f>IFERROR((Data!L28/Data!G28)^(1/5)-1,"-")</f>
        <v/>
      </c>
      <c r="D160" s="84">
        <f>IFERROR((Data!L28/Data!B28)^(1/10)-1,"-")</f>
        <v/>
      </c>
      <c r="E160" s="10" t="n"/>
      <c r="F160" s="10" t="n"/>
      <c r="G160" s="10" t="n"/>
      <c r="H160" s="10" t="n"/>
      <c r="I160" s="10" t="n"/>
      <c r="J160" s="10" t="n"/>
      <c r="K160" s="10" t="n"/>
      <c r="L160" s="10" t="n"/>
      <c r="N160" s="10" t="n"/>
      <c r="O160" s="10" t="n"/>
      <c r="P160" s="10" t="n"/>
      <c r="Q160" s="10" t="n"/>
      <c r="R160" s="10" t="n"/>
      <c r="S160" s="10" t="n"/>
      <c r="T160" s="10" t="n"/>
      <c r="U160" s="10" t="n"/>
    </row>
    <row r="161" ht="15" customHeight="1" s="74">
      <c r="A161" s="2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N161" s="2" t="n"/>
      <c r="O161" s="2" t="n"/>
      <c r="P161" s="2" t="n"/>
      <c r="Q161" s="2" t="n"/>
      <c r="R161" s="2" t="n"/>
      <c r="S161" s="2" t="n"/>
      <c r="T161" s="2" t="n"/>
      <c r="U161" s="2" t="n"/>
    </row>
    <row r="162" ht="15" customHeight="1" s="74">
      <c r="A162" s="2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N162" s="2" t="n"/>
      <c r="O162" s="2" t="n"/>
      <c r="P162" s="2" t="n"/>
      <c r="Q162" s="2" t="n"/>
      <c r="R162" s="2" t="n"/>
      <c r="S162" s="2" t="n"/>
      <c r="T162" s="2" t="n"/>
      <c r="U162" s="2" t="n"/>
    </row>
    <row r="163" ht="15" customHeight="1" s="74">
      <c r="A163" s="2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N163" s="2" t="n"/>
      <c r="O163" s="2" t="n"/>
      <c r="P163" s="2" t="n"/>
      <c r="Q163" s="2" t="n"/>
      <c r="R163" s="2" t="n"/>
      <c r="S163" s="2" t="n"/>
      <c r="T163" s="2" t="n"/>
      <c r="U163" s="2" t="n"/>
    </row>
    <row r="164" ht="15" customHeight="1" s="74">
      <c r="A164" s="2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N164" s="2" t="n"/>
      <c r="O164" s="2" t="n"/>
      <c r="P164" s="2" t="n"/>
      <c r="Q164" s="2" t="n"/>
      <c r="R164" s="2" t="n"/>
      <c r="S164" s="2" t="n"/>
      <c r="T164" s="2" t="n"/>
      <c r="U164" s="2" t="n"/>
    </row>
    <row r="165" ht="15" customHeight="1" s="74">
      <c r="A165" s="2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N165" s="2" t="n"/>
      <c r="O165" s="2" t="n"/>
      <c r="P165" s="2" t="n"/>
      <c r="Q165" s="2" t="n"/>
      <c r="R165" s="2" t="n"/>
      <c r="S165" s="2" t="n"/>
      <c r="T165" s="2" t="n"/>
      <c r="U165" s="2" t="n"/>
    </row>
    <row r="166" ht="15" customHeight="1" s="74">
      <c r="A166" s="2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N166" s="2" t="n"/>
      <c r="O166" s="2" t="n"/>
      <c r="P166" s="2" t="n"/>
      <c r="Q166" s="2" t="n"/>
      <c r="R166" s="2" t="n"/>
      <c r="S166" s="2" t="n"/>
      <c r="T166" s="2" t="n"/>
      <c r="U166" s="2" t="n"/>
    </row>
    <row r="167" ht="15" customHeight="1" s="74">
      <c r="A167" s="2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N167" s="2" t="n"/>
      <c r="O167" s="2" t="n"/>
      <c r="P167" s="2" t="n"/>
      <c r="Q167" s="2" t="n"/>
      <c r="R167" s="2" t="n"/>
      <c r="S167" s="2" t="n"/>
      <c r="T167" s="2" t="n"/>
      <c r="U167" s="2" t="n"/>
    </row>
    <row r="168" ht="15" customHeight="1" s="74">
      <c r="A168" s="2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N168" s="2" t="n"/>
      <c r="O168" s="2" t="n"/>
      <c r="P168" s="2" t="n"/>
      <c r="Q168" s="2" t="n"/>
      <c r="R168" s="2" t="n"/>
      <c r="S168" s="2" t="n"/>
      <c r="T168" s="2" t="n"/>
      <c r="U168" s="2" t="n"/>
    </row>
    <row r="169" ht="15" customHeight="1" s="74">
      <c r="A169" s="2" t="inlineStr">
        <is>
          <t>RECONCILIATION CHECKS</t>
        </is>
      </c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N169" s="2" t="n"/>
      <c r="O169" s="2" t="n"/>
      <c r="P169" s="2" t="n"/>
      <c r="Q169" s="2" t="n"/>
      <c r="R169" s="2" t="n"/>
      <c r="S169" s="2" t="n"/>
      <c r="T169" s="2" t="n"/>
      <c r="U169" s="2" t="n"/>
    </row>
    <row r="170" ht="15" customHeight="1" s="74">
      <c r="A170" s="2" t="inlineStr">
        <is>
          <t>Period</t>
        </is>
      </c>
      <c r="B170" s="2">
        <f>Data!B13</f>
        <v/>
      </c>
      <c r="C170" s="2">
        <f>Data!C13</f>
        <v/>
      </c>
      <c r="D170" s="2">
        <f>Data!D13</f>
        <v/>
      </c>
      <c r="E170" s="2">
        <f>Data!E13</f>
        <v/>
      </c>
      <c r="F170" s="2">
        <f>Data!F13</f>
        <v/>
      </c>
      <c r="G170" s="2">
        <f>Data!G13</f>
        <v/>
      </c>
      <c r="H170" s="2">
        <f>Data!H13</f>
        <v/>
      </c>
      <c r="I170" s="2">
        <f>Data!I13</f>
        <v/>
      </c>
      <c r="J170" s="2">
        <f>Data!J13</f>
        <v/>
      </c>
      <c r="K170" s="2">
        <f>Data!K13</f>
        <v/>
      </c>
      <c r="L170" s="2">
        <f>Data!L13</f>
        <v/>
      </c>
      <c r="N170" s="2">
        <f>Data!N13</f>
        <v/>
      </c>
      <c r="O170" s="2">
        <f>Data!O13</f>
        <v/>
      </c>
      <c r="P170" s="2">
        <f>Data!P13</f>
        <v/>
      </c>
      <c r="Q170" s="2">
        <f>Data!Q13</f>
        <v/>
      </c>
      <c r="R170" s="2">
        <f>Data!R13</f>
        <v/>
      </c>
      <c r="S170" s="2">
        <f>Data!S13</f>
        <v/>
      </c>
      <c r="T170" s="2">
        <f>Data!T13</f>
        <v/>
      </c>
      <c r="U170" s="2">
        <f>Data!U13</f>
        <v/>
      </c>
    </row>
    <row r="171" ht="15" customHeight="1" s="74">
      <c r="A171" s="2" t="inlineStr">
        <is>
          <t>EBITDA ≠ EBIT+D&amp;A? (should be 0)</t>
        </is>
      </c>
      <c r="B171" s="2">
        <f>IFERROR(Data!B20-(Data!B22+Data!B21),"-")</f>
        <v/>
      </c>
      <c r="C171" s="2">
        <f>IFERROR(Data!C20-(Data!C22+Data!C21),"-")</f>
        <v/>
      </c>
      <c r="D171" s="2">
        <f>IFERROR(Data!D20-(Data!D22+Data!D21),"-")</f>
        <v/>
      </c>
      <c r="E171" s="2">
        <f>IFERROR(Data!E20-(Data!E22+Data!E21),"-")</f>
        <v/>
      </c>
      <c r="F171" s="2">
        <f>IFERROR(Data!F20-(Data!F22+Data!F21),"-")</f>
        <v/>
      </c>
      <c r="G171" s="2">
        <f>IFERROR(Data!G20-(Data!G22+Data!G21),"-")</f>
        <v/>
      </c>
      <c r="H171" s="2">
        <f>IFERROR(Data!H20-(Data!H22+Data!H21),"-")</f>
        <v/>
      </c>
      <c r="I171" s="2">
        <f>IFERROR(Data!I20-(Data!I22+Data!I21),"-")</f>
        <v/>
      </c>
      <c r="J171" s="2">
        <f>IFERROR(Data!J20-(Data!J22+Data!J21),"-")</f>
        <v/>
      </c>
      <c r="K171" s="2">
        <f>IFERROR(Data!K20-(Data!K22+Data!K21),"-")</f>
        <v/>
      </c>
      <c r="L171" s="2">
        <f>IFERROR(Data!L20-(Data!L22+Data!L21),"-")</f>
        <v/>
      </c>
      <c r="N171" s="2">
        <f>IFERROR(Data!N20-(Data!N22+Data!N21),"-")</f>
        <v/>
      </c>
      <c r="O171" s="2">
        <f>IFERROR(Data!O20-(Data!O22+Data!O21),"-")</f>
        <v/>
      </c>
      <c r="P171" s="2">
        <f>IFERROR(Data!P20-(Data!P22+Data!P21),"-")</f>
        <v/>
      </c>
      <c r="Q171" s="2">
        <f>IFERROR(Data!Q20-(Data!Q22+Data!Q21),"-")</f>
        <v/>
      </c>
      <c r="R171" s="2">
        <f>IFERROR(Data!R20-(Data!R22+Data!R21),"-")</f>
        <v/>
      </c>
      <c r="S171" s="2">
        <f>IFERROR(Data!S20-(Data!S22+Data!S21),"-")</f>
        <v/>
      </c>
      <c r="T171" s="2">
        <f>IFERROR(Data!T20-(Data!T22+Data!T21),"-")</f>
        <v/>
      </c>
      <c r="U171" s="2">
        <f>IFERROR(Data!U20-(Data!U22+Data!U21),"-")</f>
        <v/>
      </c>
    </row>
    <row r="172" ht="15" customHeight="1" s="74">
      <c r="A172" s="2" t="inlineStr">
        <is>
          <t>NI ≠ PreTax-Tax? (non-zero = other inc/exp)</t>
        </is>
      </c>
      <c r="B172" s="2">
        <f>IFERROR(Data!B26-(Data!B24-Data!B25),"-")</f>
        <v/>
      </c>
      <c r="C172" s="2">
        <f>IFERROR(Data!C26-(Data!C24-Data!C25),"-")</f>
        <v/>
      </c>
      <c r="D172" s="2">
        <f>IFERROR(Data!D26-(Data!D24-Data!D25),"-")</f>
        <v/>
      </c>
      <c r="E172" s="2">
        <f>IFERROR(Data!E26-(Data!E24-Data!E25),"-")</f>
        <v/>
      </c>
      <c r="F172" s="2">
        <f>IFERROR(Data!F26-(Data!F24-Data!F25),"-")</f>
        <v/>
      </c>
      <c r="G172" s="2">
        <f>IFERROR(Data!G26-(Data!G24-Data!G25),"-")</f>
        <v/>
      </c>
      <c r="H172" s="2">
        <f>IFERROR(Data!H26-(Data!H24-Data!H25),"-")</f>
        <v/>
      </c>
      <c r="I172" s="2">
        <f>IFERROR(Data!I26-(Data!I24-Data!I25),"-")</f>
        <v/>
      </c>
      <c r="J172" s="2">
        <f>IFERROR(Data!J26-(Data!J24-Data!J25),"-")</f>
        <v/>
      </c>
      <c r="K172" s="2">
        <f>IFERROR(Data!K26-(Data!K24-Data!K25),"-")</f>
        <v/>
      </c>
      <c r="L172" s="2">
        <f>IFERROR(Data!L26-(Data!L24-Data!L25),"-")</f>
        <v/>
      </c>
      <c r="N172" s="2">
        <f>IFERROR(Data!N26-(Data!N24-Data!N25),"-")</f>
        <v/>
      </c>
      <c r="O172" s="2">
        <f>IFERROR(Data!O26-(Data!O24-Data!O25),"-")</f>
        <v/>
      </c>
      <c r="P172" s="2">
        <f>IFERROR(Data!P26-(Data!P24-Data!P25),"-")</f>
        <v/>
      </c>
      <c r="Q172" s="2">
        <f>IFERROR(Data!Q26-(Data!Q24-Data!Q25),"-")</f>
        <v/>
      </c>
      <c r="R172" s="2">
        <f>IFERROR(Data!R26-(Data!R24-Data!R25),"-")</f>
        <v/>
      </c>
      <c r="S172" s="2">
        <f>IFERROR(Data!S26-(Data!S24-Data!S25),"-")</f>
        <v/>
      </c>
      <c r="T172" s="2">
        <f>IFERROR(Data!T26-(Data!T24-Data!T25),"-")</f>
        <v/>
      </c>
      <c r="U172" s="2">
        <f>IFERROR(Data!U26-(Data!U24-Data!U25),"-")</f>
        <v/>
      </c>
    </row>
    <row r="173" ht="15" customHeight="1" s="74">
      <c r="A173" s="2" t="inlineStr">
        <is>
          <t>Equity = Assets - Liabilities? (should be 0)</t>
        </is>
      </c>
      <c r="B173" s="2">
        <f>IFERROR(Data!B41-(Data!B39-Data!B40),"-")</f>
        <v/>
      </c>
      <c r="C173" s="2">
        <f>IFERROR(Data!C41-(Data!C39-Data!C40),"-")</f>
        <v/>
      </c>
      <c r="D173" s="2">
        <f>IFERROR(Data!D41-(Data!D39-Data!D40),"-")</f>
        <v/>
      </c>
      <c r="E173" s="2">
        <f>IFERROR(Data!E41-(Data!E39-Data!E40),"-")</f>
        <v/>
      </c>
      <c r="F173" s="2">
        <f>IFERROR(Data!F41-(Data!F39-Data!F40),"-")</f>
        <v/>
      </c>
      <c r="G173" s="2">
        <f>IFERROR(Data!G41-(Data!G39-Data!G40),"-")</f>
        <v/>
      </c>
      <c r="H173" s="2">
        <f>IFERROR(Data!H41-(Data!H39-Data!H40),"-")</f>
        <v/>
      </c>
      <c r="I173" s="2">
        <f>IFERROR(Data!I41-(Data!I39-Data!I40),"-")</f>
        <v/>
      </c>
      <c r="J173" s="2">
        <f>IFERROR(Data!J41-(Data!J39-Data!J40),"-")</f>
        <v/>
      </c>
      <c r="K173" s="2">
        <f>IFERROR(Data!K41-(Data!K39-Data!K40),"-")</f>
        <v/>
      </c>
      <c r="L173" s="2">
        <f>IFERROR(Data!L41-(Data!L39-Data!L40),"-")</f>
        <v/>
      </c>
      <c r="N173" s="2">
        <f>IFERROR(Data!N41-(Data!N39-Data!N40),"-")</f>
        <v/>
      </c>
      <c r="O173" s="2">
        <f>IFERROR(Data!O41-(Data!O39-Data!O40),"-")</f>
        <v/>
      </c>
      <c r="P173" s="2">
        <f>IFERROR(Data!P41-(Data!P39-Data!P40),"-")</f>
        <v/>
      </c>
      <c r="Q173" s="2">
        <f>IFERROR(Data!Q41-(Data!Q39-Data!Q40),"-")</f>
        <v/>
      </c>
      <c r="R173" s="2">
        <f>IFERROR(Data!R41-(Data!R39-Data!R40),"-")</f>
        <v/>
      </c>
      <c r="S173" s="2">
        <f>IFERROR(Data!S41-(Data!S39-Data!S40),"-")</f>
        <v/>
      </c>
      <c r="T173" s="2">
        <f>IFERROR(Data!T41-(Data!T39-Data!T40),"-")</f>
        <v/>
      </c>
      <c r="U173" s="2">
        <f>IFERROR(Data!U41-(Data!U39-Data!U40),"-")</f>
        <v/>
      </c>
    </row>
    <row r="174" ht="15" customHeight="1" s="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N174" s="2" t="n"/>
      <c r="O174" s="2" t="n"/>
      <c r="P174" s="2" t="n"/>
      <c r="Q174" s="2" t="n"/>
      <c r="R174" s="2" t="n"/>
      <c r="S174" s="2" t="n"/>
      <c r="T174" s="2" t="n"/>
      <c r="U174" s="2" t="n"/>
    </row>
    <row r="175" ht="15" customHeight="1" s="74">
      <c r="A175" s="2" t="inlineStr">
        <is>
          <t>VALUATION MULTIPLES (at period-end price)</t>
        </is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N175" s="2" t="n"/>
      <c r="O175" s="2" t="n"/>
      <c r="P175" s="2" t="n"/>
      <c r="Q175" s="2" t="n"/>
      <c r="R175" s="2" t="n"/>
      <c r="S175" s="2" t="n"/>
      <c r="T175" s="2" t="n"/>
      <c r="U175" s="2" t="n"/>
    </row>
    <row r="176" ht="15" customHeight="1" s="74">
      <c r="A176" s="2" t="inlineStr">
        <is>
          <t>Period</t>
        </is>
      </c>
      <c r="B176" s="2">
        <f>Data!B13</f>
        <v/>
      </c>
      <c r="C176" s="2">
        <f>Data!C13</f>
        <v/>
      </c>
      <c r="D176" s="2">
        <f>Data!D13</f>
        <v/>
      </c>
      <c r="E176" s="2">
        <f>Data!E13</f>
        <v/>
      </c>
      <c r="F176" s="2">
        <f>Data!F13</f>
        <v/>
      </c>
      <c r="G176" s="2">
        <f>Data!G13</f>
        <v/>
      </c>
      <c r="H176" s="2">
        <f>Data!H13</f>
        <v/>
      </c>
      <c r="I176" s="2">
        <f>Data!I13</f>
        <v/>
      </c>
      <c r="J176" s="2">
        <f>Data!J13</f>
        <v/>
      </c>
      <c r="K176" s="2">
        <f>Data!K13</f>
        <v/>
      </c>
      <c r="L176" s="2">
        <f>Data!L13</f>
        <v/>
      </c>
      <c r="N176" s="2">
        <f>Data!N13</f>
        <v/>
      </c>
      <c r="O176" s="2">
        <f>Data!O13</f>
        <v/>
      </c>
      <c r="P176" s="2">
        <f>Data!P13</f>
        <v/>
      </c>
      <c r="Q176" s="2">
        <f>Data!Q13</f>
        <v/>
      </c>
      <c r="R176" s="2">
        <f>Data!R13</f>
        <v/>
      </c>
      <c r="S176" s="2">
        <f>Data!S13</f>
        <v/>
      </c>
      <c r="T176" s="2">
        <f>Data!T13</f>
        <v/>
      </c>
      <c r="U176" s="2">
        <f>Data!U13</f>
        <v/>
      </c>
    </row>
    <row r="177" ht="15" customHeight="1" s="74">
      <c r="A177" s="2" t="inlineStr">
        <is>
          <t>P/E (historical)</t>
        </is>
      </c>
      <c r="B177" s="2">
        <f>IFERROR(Data!B57/Data!B27,"-")</f>
        <v/>
      </c>
      <c r="C177" s="2">
        <f>IFERROR(Data!C57/Data!C27,"-")</f>
        <v/>
      </c>
      <c r="D177" s="2">
        <f>IFERROR(Data!D57/Data!D27,"-")</f>
        <v/>
      </c>
      <c r="E177" s="2">
        <f>IFERROR(Data!E57/Data!E27,"-")</f>
        <v/>
      </c>
      <c r="F177" s="2">
        <f>IFERROR(Data!F57/Data!F27,"-")</f>
        <v/>
      </c>
      <c r="G177" s="2">
        <f>IFERROR(Data!G57/Data!G27,"-")</f>
        <v/>
      </c>
      <c r="H177" s="2">
        <f>IFERROR(Data!H57/Data!H27,"-")</f>
        <v/>
      </c>
      <c r="I177" s="2">
        <f>IFERROR(Data!I57/Data!I27,"-")</f>
        <v/>
      </c>
      <c r="J177" s="2">
        <f>IFERROR(Data!J57/Data!J27,"-")</f>
        <v/>
      </c>
      <c r="K177" s="2">
        <f>IFERROR(Data!K57/Data!K27,"-")</f>
        <v/>
      </c>
      <c r="L177" s="2">
        <f>IFERROR(Data!L57/Data!L27,"-")</f>
        <v/>
      </c>
      <c r="N177" s="2">
        <f>IFERROR(Data!N57/Data!N27,"-")</f>
        <v/>
      </c>
      <c r="O177" s="2">
        <f>IFERROR(Data!O57/Data!O27,"-")</f>
        <v/>
      </c>
      <c r="P177" s="2">
        <f>IFERROR(Data!P57/Data!P27,"-")</f>
        <v/>
      </c>
      <c r="Q177" s="2">
        <f>IFERROR(Data!Q57/Data!Q27,"-")</f>
        <v/>
      </c>
      <c r="R177" s="2">
        <f>IFERROR(Data!R57/Data!R27,"-")</f>
        <v/>
      </c>
      <c r="S177" s="2">
        <f>IFERROR(Data!S57/Data!S27,"-")</f>
        <v/>
      </c>
      <c r="T177" s="2">
        <f>IFERROR(Data!T57/Data!T27,"-")</f>
        <v/>
      </c>
      <c r="U177" s="2">
        <f>IFERROR(Data!U57/Data!U27,"-")</f>
        <v/>
      </c>
    </row>
    <row r="178" ht="15" customHeight="1" s="74">
      <c r="A178" s="2" t="inlineStr">
        <is>
          <t>P/S (historical)</t>
        </is>
      </c>
      <c r="B178" s="2">
        <f>IFERROR(Data!B57/(Data!B14/Data!B28),"-")</f>
        <v/>
      </c>
      <c r="C178" s="2">
        <f>IFERROR(Data!C57/(Data!C14/Data!C28),"-")</f>
        <v/>
      </c>
      <c r="D178" s="2">
        <f>IFERROR(Data!D57/(Data!D14/Data!D28),"-")</f>
        <v/>
      </c>
      <c r="E178" s="2">
        <f>IFERROR(Data!E57/(Data!E14/Data!E28),"-")</f>
        <v/>
      </c>
      <c r="F178" s="2">
        <f>IFERROR(Data!F57/(Data!F14/Data!F28),"-")</f>
        <v/>
      </c>
      <c r="G178" s="2">
        <f>IFERROR(Data!G57/(Data!G14/Data!G28),"-")</f>
        <v/>
      </c>
      <c r="H178" s="2">
        <f>IFERROR(Data!H57/(Data!H14/Data!H28),"-")</f>
        <v/>
      </c>
      <c r="I178" s="2">
        <f>IFERROR(Data!I57/(Data!I14/Data!I28),"-")</f>
        <v/>
      </c>
      <c r="J178" s="2">
        <f>IFERROR(Data!J57/(Data!J14/Data!J28),"-")</f>
        <v/>
      </c>
      <c r="K178" s="2">
        <f>IFERROR(Data!K57/(Data!K14/Data!K28),"-")</f>
        <v/>
      </c>
      <c r="L178" s="2">
        <f>IFERROR(Data!L57/(Data!L14/Data!L28),"-")</f>
        <v/>
      </c>
      <c r="N178" s="2">
        <f>IFERROR(Data!N57/(Data!N14/Data!N28),"-")</f>
        <v/>
      </c>
      <c r="O178" s="2">
        <f>IFERROR(Data!O57/(Data!O14/Data!O28),"-")</f>
        <v/>
      </c>
      <c r="P178" s="2">
        <f>IFERROR(Data!P57/(Data!P14/Data!P28),"-")</f>
        <v/>
      </c>
      <c r="Q178" s="2">
        <f>IFERROR(Data!Q57/(Data!Q14/Data!Q28),"-")</f>
        <v/>
      </c>
      <c r="R178" s="2">
        <f>IFERROR(Data!R57/(Data!R14/Data!R28),"-")</f>
        <v/>
      </c>
      <c r="S178" s="2">
        <f>IFERROR(Data!S57/(Data!S14/Data!S28),"-")</f>
        <v/>
      </c>
      <c r="T178" s="2">
        <f>IFERROR(Data!T57/(Data!T14/Data!T28),"-")</f>
        <v/>
      </c>
      <c r="U178" s="2">
        <f>IFERROR(Data!U57/(Data!U14/Data!U28),"-")</f>
        <v/>
      </c>
    </row>
    <row r="179" ht="15" customHeight="1" s="74">
      <c r="A179" s="2" t="inlineStr">
        <is>
          <t>P/B (historical)</t>
        </is>
      </c>
      <c r="B179" s="2">
        <f>IFERROR(Data!B57/(Data!B41/Data!B28),"-")</f>
        <v/>
      </c>
      <c r="C179" s="2">
        <f>IFERROR(Data!C57/(Data!C41/Data!C28),"-")</f>
        <v/>
      </c>
      <c r="D179" s="2">
        <f>IFERROR(Data!D57/(Data!D41/Data!D28),"-")</f>
        <v/>
      </c>
      <c r="E179" s="2">
        <f>IFERROR(Data!E57/(Data!E41/Data!E28),"-")</f>
        <v/>
      </c>
      <c r="F179" s="2">
        <f>IFERROR(Data!F57/(Data!F41/Data!F28),"-")</f>
        <v/>
      </c>
      <c r="G179" s="2">
        <f>IFERROR(Data!G57/(Data!G41/Data!G28),"-")</f>
        <v/>
      </c>
      <c r="H179" s="2">
        <f>IFERROR(Data!H57/(Data!H41/Data!H28),"-")</f>
        <v/>
      </c>
      <c r="I179" s="2">
        <f>IFERROR(Data!I57/(Data!I41/Data!I28),"-")</f>
        <v/>
      </c>
      <c r="J179" s="2">
        <f>IFERROR(Data!J57/(Data!J41/Data!J28),"-")</f>
        <v/>
      </c>
      <c r="K179" s="2">
        <f>IFERROR(Data!K57/(Data!K41/Data!K28),"-")</f>
        <v/>
      </c>
      <c r="L179" s="2">
        <f>IFERROR(Data!L57/(Data!L41/Data!L28),"-")</f>
        <v/>
      </c>
      <c r="N179" s="2">
        <f>IFERROR(Data!N57/(Data!N41/Data!N28),"-")</f>
        <v/>
      </c>
      <c r="O179" s="2">
        <f>IFERROR(Data!O57/(Data!O41/Data!O28),"-")</f>
        <v/>
      </c>
      <c r="P179" s="2">
        <f>IFERROR(Data!P57/(Data!P41/Data!P28),"-")</f>
        <v/>
      </c>
      <c r="Q179" s="2">
        <f>IFERROR(Data!Q57/(Data!Q41/Data!Q28),"-")</f>
        <v/>
      </c>
      <c r="R179" s="2">
        <f>IFERROR(Data!R57/(Data!R41/Data!R28),"-")</f>
        <v/>
      </c>
      <c r="S179" s="2">
        <f>IFERROR(Data!S57/(Data!S41/Data!S28),"-")</f>
        <v/>
      </c>
      <c r="T179" s="2">
        <f>IFERROR(Data!T57/(Data!T41/Data!T28),"-")</f>
        <v/>
      </c>
      <c r="U179" s="2">
        <f>IFERROR(Data!U57/(Data!U41/Data!U28),"-")</f>
        <v/>
      </c>
    </row>
    <row r="180">
      <c r="A180" s="2" t="inlineStr">
        <is>
          <t>P/FCF (historical)</t>
        </is>
      </c>
      <c r="B180" s="2">
        <f>IFERROR(Data!B57/(Data!B53/Data!B28),"-")</f>
        <v/>
      </c>
      <c r="C180" s="2">
        <f>IFERROR(Data!C57/(Data!C53/Data!C28),"-")</f>
        <v/>
      </c>
      <c r="D180" s="2">
        <f>IFERROR(Data!D57/(Data!D53/Data!D28),"-")</f>
        <v/>
      </c>
      <c r="E180" s="2">
        <f>IFERROR(Data!E57/(Data!E53/Data!E28),"-")</f>
        <v/>
      </c>
      <c r="F180" s="2">
        <f>IFERROR(Data!F57/(Data!F53/Data!F28),"-")</f>
        <v/>
      </c>
      <c r="G180" s="2">
        <f>IFERROR(Data!G57/(Data!G53/Data!G28),"-")</f>
        <v/>
      </c>
      <c r="H180" s="2">
        <f>IFERROR(Data!H57/(Data!H53/Data!H28),"-")</f>
        <v/>
      </c>
      <c r="I180" s="2">
        <f>IFERROR(Data!I57/(Data!I53/Data!I28),"-")</f>
        <v/>
      </c>
      <c r="J180" s="2">
        <f>IFERROR(Data!J57/(Data!J53/Data!J28),"-")</f>
        <v/>
      </c>
      <c r="K180" s="2">
        <f>IFERROR(Data!K57/(Data!K53/Data!K28),"-")</f>
        <v/>
      </c>
      <c r="L180" s="2">
        <f>IFERROR(Data!L57/(Data!L53/Data!L28),"-")</f>
        <v/>
      </c>
      <c r="N180" s="2">
        <f>IFERROR(Data!N57/(Data!N53/Data!N28),"-")</f>
        <v/>
      </c>
      <c r="O180" s="2">
        <f>IFERROR(Data!O57/(Data!O53/Data!O28),"-")</f>
        <v/>
      </c>
      <c r="P180" s="2">
        <f>IFERROR(Data!P57/(Data!P53/Data!P28),"-")</f>
        <v/>
      </c>
      <c r="Q180" s="2">
        <f>IFERROR(Data!Q57/(Data!Q53/Data!Q28),"-")</f>
        <v/>
      </c>
      <c r="R180" s="2">
        <f>IFERROR(Data!R57/(Data!R53/Data!R28),"-")</f>
        <v/>
      </c>
      <c r="S180" s="2">
        <f>IFERROR(Data!S57/(Data!S53/Data!S28),"-")</f>
        <v/>
      </c>
      <c r="T180" s="2">
        <f>IFERROR(Data!T57/(Data!T53/Data!T28),"-")</f>
        <v/>
      </c>
      <c r="U180" s="2">
        <f>IFERROR(Data!U57/(Data!U53/Data!U28),"-")</f>
        <v/>
      </c>
    </row>
    <row r="181">
      <c r="A181" s="2" t="inlineStr">
        <is>
          <t>EV/EBITDA (historical)</t>
        </is>
      </c>
      <c r="B181" s="2">
        <f>IFERROR((Data!B57*Data!B28+Data!B36+Data!B42)/Data!B20,"-")</f>
        <v/>
      </c>
      <c r="C181" s="2">
        <f>IFERROR((Data!C57*Data!C28+Data!C36+Data!C42)/Data!C20,"-")</f>
        <v/>
      </c>
      <c r="D181" s="2">
        <f>IFERROR((Data!D57*Data!D28+Data!D36+Data!D42)/Data!D20,"-")</f>
        <v/>
      </c>
      <c r="E181" s="2">
        <f>IFERROR((Data!E57*Data!E28+Data!E36+Data!E42)/Data!E20,"-")</f>
        <v/>
      </c>
      <c r="F181" s="2">
        <f>IFERROR((Data!F57*Data!F28+Data!F36+Data!F42)/Data!F20,"-")</f>
        <v/>
      </c>
      <c r="G181" s="2">
        <f>IFERROR((Data!G57*Data!G28+Data!G36+Data!G42)/Data!G20,"-")</f>
        <v/>
      </c>
      <c r="H181" s="2">
        <f>IFERROR((Data!H57*Data!H28+Data!H36+Data!H42)/Data!H20,"-")</f>
        <v/>
      </c>
      <c r="I181" s="2">
        <f>IFERROR((Data!I57*Data!I28+Data!I36+Data!I42)/Data!I20,"-")</f>
        <v/>
      </c>
      <c r="J181" s="2">
        <f>IFERROR((Data!J57*Data!J28+Data!J36+Data!J42)/Data!J20,"-")</f>
        <v/>
      </c>
      <c r="K181" s="2">
        <f>IFERROR((Data!K57*Data!K28+Data!K36+Data!K42)/Data!K20,"-")</f>
        <v/>
      </c>
      <c r="L181" s="2">
        <f>IFERROR((Data!L57*Data!L28+Data!L36+Data!L42)/Data!L20,"-")</f>
        <v/>
      </c>
      <c r="N181" s="2">
        <f>IFERROR((Data!N57*Data!N28+Data!N36+Data!N42)/Data!N20,"-")</f>
        <v/>
      </c>
      <c r="O181" s="2">
        <f>IFERROR((Data!O57*Data!O28+Data!O36+Data!O42)/Data!O20,"-")</f>
        <v/>
      </c>
      <c r="P181" s="2">
        <f>IFERROR((Data!P57*Data!P28+Data!P36+Data!P42)/Data!P20,"-")</f>
        <v/>
      </c>
      <c r="Q181" s="2">
        <f>IFERROR((Data!Q57*Data!Q28+Data!Q36+Data!Q42)/Data!Q20,"-")</f>
        <v/>
      </c>
      <c r="R181" s="2">
        <f>IFERROR((Data!R57*Data!R28+Data!R36+Data!R42)/Data!R20,"-")</f>
        <v/>
      </c>
      <c r="S181" s="2">
        <f>IFERROR((Data!S57*Data!S28+Data!S36+Data!S42)/Data!S20,"-")</f>
        <v/>
      </c>
      <c r="T181" s="2">
        <f>IFERROR((Data!T57*Data!T28+Data!T36+Data!T42)/Data!T20,"-")</f>
        <v/>
      </c>
      <c r="U181" s="2">
        <f>IFERROR((Data!U57*Data!U28+Data!U36+Data!U42)/Data!U20,"-")</f>
        <v/>
      </c>
    </row>
    <row r="182" ht="15" customHeight="1" s="74">
      <c r="A182" s="2" t="inlineStr">
        <is>
          <t>EV/EBIT (historical)</t>
        </is>
      </c>
      <c r="B182" s="2">
        <f>IFERROR((Data!B57*Data!B28+Data!B36+Data!B42)/Data!B22,"-")</f>
        <v/>
      </c>
      <c r="C182" s="2">
        <f>IFERROR((Data!C57*Data!C28+Data!C36+Data!C42)/Data!C22,"-")</f>
        <v/>
      </c>
      <c r="D182" s="2">
        <f>IFERROR((Data!D57*Data!D28+Data!D36+Data!D42)/Data!D22,"-")</f>
        <v/>
      </c>
      <c r="E182" s="2">
        <f>IFERROR((Data!E57*Data!E28+Data!E36+Data!E42)/Data!E22,"-")</f>
        <v/>
      </c>
      <c r="F182" s="2">
        <f>IFERROR((Data!F57*Data!F28+Data!F36+Data!F42)/Data!F22,"-")</f>
        <v/>
      </c>
      <c r="G182" s="2">
        <f>IFERROR((Data!G57*Data!G28+Data!G36+Data!G42)/Data!G22,"-")</f>
        <v/>
      </c>
      <c r="H182" s="2">
        <f>IFERROR((Data!H57*Data!H28+Data!H36+Data!H42)/Data!H22,"-")</f>
        <v/>
      </c>
      <c r="I182" s="2">
        <f>IFERROR((Data!I57*Data!I28+Data!I36+Data!I42)/Data!I22,"-")</f>
        <v/>
      </c>
      <c r="J182" s="2">
        <f>IFERROR((Data!J57*Data!J28+Data!J36+Data!J42)/Data!J22,"-")</f>
        <v/>
      </c>
      <c r="K182" s="2">
        <f>IFERROR((Data!K57*Data!K28+Data!K36+Data!K42)/Data!K22,"-")</f>
        <v/>
      </c>
      <c r="L182" s="2">
        <f>IFERROR((Data!L57*Data!L28+Data!L36+Data!L42)/Data!L22,"-")</f>
        <v/>
      </c>
      <c r="N182" s="2">
        <f>IFERROR((Data!N57*Data!N28+Data!N36+Data!N42)/Data!N22,"-")</f>
        <v/>
      </c>
      <c r="O182" s="2">
        <f>IFERROR((Data!O57*Data!O28+Data!O36+Data!O42)/Data!O22,"-")</f>
        <v/>
      </c>
      <c r="P182" s="2">
        <f>IFERROR((Data!P57*Data!P28+Data!P36+Data!P42)/Data!P22,"-")</f>
        <v/>
      </c>
      <c r="Q182" s="2">
        <f>IFERROR((Data!Q57*Data!Q28+Data!Q36+Data!Q42)/Data!Q22,"-")</f>
        <v/>
      </c>
      <c r="R182" s="2">
        <f>IFERROR((Data!R57*Data!R28+Data!R36+Data!R42)/Data!R22,"-")</f>
        <v/>
      </c>
      <c r="S182" s="2">
        <f>IFERROR((Data!S57*Data!S28+Data!S36+Data!S42)/Data!S22,"-")</f>
        <v/>
      </c>
      <c r="T182" s="2">
        <f>IFERROR((Data!T57*Data!T28+Data!T36+Data!T42)/Data!T22,"-")</f>
        <v/>
      </c>
      <c r="U182" s="2">
        <f>IFERROR((Data!U57*Data!U28+Data!U36+Data!U42)/Data!U22,"-")</f>
        <v/>
      </c>
    </row>
    <row r="183" ht="15" customHeight="1" s="74">
      <c r="A183" s="2" t="inlineStr">
        <is>
          <t>FCF Yield (historical)</t>
        </is>
      </c>
      <c r="B183" s="2">
        <f>IFERROR((Data!B53/Data!B28)/Data!B57,"-")</f>
        <v/>
      </c>
      <c r="C183" s="2">
        <f>IFERROR((Data!C53/Data!C28)/Data!C57,"-")</f>
        <v/>
      </c>
      <c r="D183" s="2">
        <f>IFERROR((Data!D53/Data!D28)/Data!D57,"-")</f>
        <v/>
      </c>
      <c r="E183" s="2">
        <f>IFERROR((Data!E53/Data!E28)/Data!E57,"-")</f>
        <v/>
      </c>
      <c r="F183" s="2">
        <f>IFERROR((Data!F53/Data!F28)/Data!F57,"-")</f>
        <v/>
      </c>
      <c r="G183" s="2">
        <f>IFERROR((Data!G53/Data!G28)/Data!G57,"-")</f>
        <v/>
      </c>
      <c r="H183" s="2">
        <f>IFERROR((Data!H53/Data!H28)/Data!H57,"-")</f>
        <v/>
      </c>
      <c r="I183" s="2">
        <f>IFERROR((Data!I53/Data!I28)/Data!I57,"-")</f>
        <v/>
      </c>
      <c r="J183" s="2">
        <f>IFERROR((Data!J53/Data!J28)/Data!J57,"-")</f>
        <v/>
      </c>
      <c r="K183" s="2">
        <f>IFERROR((Data!K53/Data!K28)/Data!K57,"-")</f>
        <v/>
      </c>
      <c r="L183" s="2">
        <f>IFERROR((Data!L53/Data!L28)/Data!L57,"-")</f>
        <v/>
      </c>
      <c r="N183" s="2">
        <f>IFERROR((Data!N53/Data!N28)/Data!N57,"-")</f>
        <v/>
      </c>
      <c r="O183" s="2">
        <f>IFERROR((Data!O53/Data!O28)/Data!O57,"-")</f>
        <v/>
      </c>
      <c r="P183" s="2">
        <f>IFERROR((Data!P53/Data!P28)/Data!P57,"-")</f>
        <v/>
      </c>
      <c r="Q183" s="2">
        <f>IFERROR((Data!Q53/Data!Q28)/Data!Q57,"-")</f>
        <v/>
      </c>
      <c r="R183" s="2">
        <f>IFERROR((Data!R53/Data!R28)/Data!R57,"-")</f>
        <v/>
      </c>
      <c r="S183" s="2">
        <f>IFERROR((Data!S53/Data!S28)/Data!S57,"-")</f>
        <v/>
      </c>
      <c r="T183" s="2">
        <f>IFERROR((Data!T53/Data!T28)/Data!T57,"-")</f>
        <v/>
      </c>
      <c r="U183" s="2">
        <f>IFERROR((Data!U53/Data!U28)/Data!U57,"-")</f>
        <v/>
      </c>
    </row>
    <row r="184" ht="15" customHeight="1" s="74">
      <c r="A184" s="2" t="inlineStr">
        <is>
          <t>Earnings Yield (historical)</t>
        </is>
      </c>
      <c r="B184" s="2">
        <f>IFERROR(Data!B27/Data!B57,"-")</f>
        <v/>
      </c>
      <c r="C184" s="2">
        <f>IFERROR(Data!C27/Data!C57,"-")</f>
        <v/>
      </c>
      <c r="D184" s="2">
        <f>IFERROR(Data!D27/Data!D57,"-")</f>
        <v/>
      </c>
      <c r="E184" s="2">
        <f>IFERROR(Data!E27/Data!E57,"-")</f>
        <v/>
      </c>
      <c r="F184" s="2">
        <f>IFERROR(Data!F27/Data!F57,"-")</f>
        <v/>
      </c>
      <c r="G184" s="2">
        <f>IFERROR(Data!G27/Data!G57,"-")</f>
        <v/>
      </c>
      <c r="H184" s="2">
        <f>IFERROR(Data!H27/Data!H57,"-")</f>
        <v/>
      </c>
      <c r="I184" s="2">
        <f>IFERROR(Data!I27/Data!I57,"-")</f>
        <v/>
      </c>
      <c r="J184" s="2">
        <f>IFERROR(Data!J27/Data!J57,"-")</f>
        <v/>
      </c>
      <c r="K184" s="2">
        <f>IFERROR(Data!K27/Data!K57,"-")</f>
        <v/>
      </c>
      <c r="L184" s="2">
        <f>IFERROR(Data!L27/Data!L57,"-")</f>
        <v/>
      </c>
      <c r="N184" s="2">
        <f>IFERROR(Data!N27/Data!N57,"-")</f>
        <v/>
      </c>
      <c r="O184" s="2">
        <f>IFERROR(Data!O27/Data!O57,"-")</f>
        <v/>
      </c>
      <c r="P184" s="2">
        <f>IFERROR(Data!P27/Data!P57,"-")</f>
        <v/>
      </c>
      <c r="Q184" s="2">
        <f>IFERROR(Data!Q27/Data!Q57,"-")</f>
        <v/>
      </c>
      <c r="R184" s="2">
        <f>IFERROR(Data!R27/Data!R57,"-")</f>
        <v/>
      </c>
      <c r="S184" s="2">
        <f>IFERROR(Data!S27/Data!S57,"-")</f>
        <v/>
      </c>
      <c r="T184" s="2">
        <f>IFERROR(Data!T27/Data!T57,"-")</f>
        <v/>
      </c>
      <c r="U184" s="2">
        <f>IFERROR(Data!U27/Data!U57,"-")</f>
        <v/>
      </c>
    </row>
    <row r="185" ht="15" customHeight="1" s="74">
      <c r="A185" s="2" t="inlineStr">
        <is>
          <t>Dividend Yield (historical)</t>
        </is>
      </c>
      <c r="B185" s="2">
        <f>IFERROR((ABS(Data!B55)/Data!B28)/Data!B57,"-")</f>
        <v/>
      </c>
      <c r="C185" s="2">
        <f>IFERROR((ABS(Data!C55)/Data!C28)/Data!C57,"-")</f>
        <v/>
      </c>
      <c r="D185" s="2">
        <f>IFERROR((ABS(Data!D55)/Data!D28)/Data!D57,"-")</f>
        <v/>
      </c>
      <c r="E185" s="2">
        <f>IFERROR((ABS(Data!E55)/Data!E28)/Data!E57,"-")</f>
        <v/>
      </c>
      <c r="F185" s="2">
        <f>IFERROR((ABS(Data!F55)/Data!F28)/Data!F57,"-")</f>
        <v/>
      </c>
      <c r="G185" s="2">
        <f>IFERROR((ABS(Data!G55)/Data!G28)/Data!G57,"-")</f>
        <v/>
      </c>
      <c r="H185" s="2">
        <f>IFERROR((ABS(Data!H55)/Data!H28)/Data!H57,"-")</f>
        <v/>
      </c>
      <c r="I185" s="2">
        <f>IFERROR((ABS(Data!I55)/Data!I28)/Data!I57,"-")</f>
        <v/>
      </c>
      <c r="J185" s="2">
        <f>IFERROR((ABS(Data!J55)/Data!J28)/Data!J57,"-")</f>
        <v/>
      </c>
      <c r="K185" s="2">
        <f>IFERROR((ABS(Data!K55)/Data!K28)/Data!K57,"-")</f>
        <v/>
      </c>
      <c r="L185" s="2">
        <f>IFERROR((ABS(Data!L55)/Data!L28)/Data!L57,"-")</f>
        <v/>
      </c>
      <c r="N185" s="2">
        <f>IFERROR((ABS(Data!N55)/Data!N28)/Data!N57,"-")</f>
        <v/>
      </c>
      <c r="O185" s="2">
        <f>IFERROR((ABS(Data!O55)/Data!O28)/Data!O57,"-")</f>
        <v/>
      </c>
      <c r="P185" s="2">
        <f>IFERROR((ABS(Data!P55)/Data!P28)/Data!P57,"-")</f>
        <v/>
      </c>
      <c r="Q185" s="2">
        <f>IFERROR((ABS(Data!Q55)/Data!Q28)/Data!Q57,"-")</f>
        <v/>
      </c>
      <c r="R185" s="2">
        <f>IFERROR((ABS(Data!R55)/Data!R28)/Data!R57,"-")</f>
        <v/>
      </c>
      <c r="S185" s="2">
        <f>IFERROR((ABS(Data!S55)/Data!S28)/Data!S57,"-")</f>
        <v/>
      </c>
      <c r="T185" s="2">
        <f>IFERROR((ABS(Data!T55)/Data!T28)/Data!T57,"-")</f>
        <v/>
      </c>
      <c r="U185" s="2">
        <f>IFERROR((ABS(Data!U55)/Data!U28)/Data!U57,"-")</f>
        <v/>
      </c>
    </row>
    <row r="186" ht="15" customHeight="1" s="74"/>
    <row r="187" ht="15" customHeight="1" s="74"/>
    <row r="188" ht="15" customHeight="1" s="74"/>
    <row r="189" ht="15" customHeight="1" s="74"/>
    <row r="190" ht="15" customHeight="1" s="74"/>
    <row r="191" ht="15" customHeight="1" s="74"/>
    <row r="192" ht="15" customHeight="1" s="74"/>
  </sheetData>
  <mergeCells count="9">
    <mergeCell ref="A83:U83"/>
    <mergeCell ref="A34:U34"/>
    <mergeCell ref="A20:U20"/>
    <mergeCell ref="A2:U2"/>
    <mergeCell ref="A10:U10"/>
    <mergeCell ref="A28:U28"/>
    <mergeCell ref="A46:U46"/>
    <mergeCell ref="A66:U66"/>
    <mergeCell ref="A56:U56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2026-04-08T08:40:58Z</dcterms:created>
  <dcterms:modified xmlns:dcterms="http://purl.org/dc/terms/" xmlns:xsi="http://www.w3.org/2001/XMLSchema-instance" xsi:type="dcterms:W3CDTF">2026-05-30T13:08:07Z</dcterms:modified>
  <cp:lastModifiedBy>Francesco Laconi</cp:lastModifiedBy>
  <cp:revision>16</cp:revision>
</cp:coreProperties>
</file>