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8000" tabRatio="500" firstSheet="0" activeTab="3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Market" sheetId="2" state="visible" r:id="rId2"/>
    <sheet xmlns:r="http://schemas.openxmlformats.org/officeDocument/2006/relationships" name="Data" sheetId="3" state="visible" r:id="rId3"/>
    <sheet xmlns:r="http://schemas.openxmlformats.org/officeDocument/2006/relationships" name="Valuation" sheetId="4" state="visible" r:id="rId4"/>
    <sheet xmlns:r="http://schemas.openxmlformats.org/officeDocument/2006/relationships" name="Metrics" sheetId="5" state="visible" r:id="rId5"/>
    <sheet xmlns:r="http://schemas.openxmlformats.org/officeDocument/2006/relationships" name="Peers" sheetId="6" state="visible" r:id="rId6"/>
    <sheet xmlns:r="http://schemas.openxmlformats.org/officeDocument/2006/relationships" name="PriceHistory" sheetId="7" state="visible" r:id="rId7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6">
    <numFmt numFmtId="164" formatCode="\$#,##0.00"/>
    <numFmt numFmtId="165" formatCode="0.0%"/>
    <numFmt numFmtId="166" formatCode="#,##0.0"/>
    <numFmt numFmtId="167" formatCode="0.0\x"/>
    <numFmt numFmtId="168" formatCode="0.0000"/>
    <numFmt numFmtId="169" formatCode="0.0"/>
  </numFmts>
  <fonts count="52">
    <font>
      <name val="Calibri"/>
      <charset val="1"/>
      <family val="2"/>
      <color theme="1"/>
      <sz val="11"/>
    </font>
    <font>
      <name val="Helvetica"/>
      <family val="2"/>
      <b val="1"/>
      <color rgb="FF990013"/>
      <sz val="13"/>
    </font>
    <font>
      <name val="Helvetica"/>
      <family val="2"/>
      <color theme="1"/>
      <sz val="11"/>
    </font>
    <font>
      <name val="Helvetica"/>
      <family val="2"/>
      <b val="1"/>
      <color rgb="FF990013"/>
      <sz val="11"/>
    </font>
    <font>
      <name val="Helvetica"/>
      <family val="2"/>
      <b val="1"/>
      <color rgb="FFFFFFFF"/>
      <sz val="11"/>
    </font>
    <font>
      <name val="Helvetica"/>
      <family val="2"/>
      <color rgb="FF000000"/>
      <sz val="11"/>
    </font>
    <font>
      <name val="Helvetica"/>
      <family val="2"/>
      <b val="1"/>
      <color rgb="FF000000"/>
      <sz val="11"/>
    </font>
    <font>
      <name val="Helvetica"/>
      <family val="2"/>
      <i val="1"/>
      <color rgb="FF4A4A4A"/>
      <sz val="11"/>
    </font>
    <font>
      <name val="Helvetica"/>
      <family val="2"/>
      <b val="1"/>
      <i val="1"/>
      <color rgb="FF990013"/>
      <sz val="11"/>
    </font>
    <font>
      <name val="Helvetica"/>
      <family val="2"/>
      <color rgb="FF0000FF"/>
      <sz val="11"/>
    </font>
    <font>
      <name val="Calibri"/>
      <b val="1"/>
      <color rgb="00990013"/>
      <sz val="16"/>
    </font>
    <font>
      <name val="Calibri"/>
      <color rgb="00000000"/>
      <sz val="9"/>
    </font>
    <font>
      <name val="Calibri"/>
      <b val="1"/>
      <color rgb="001F4E79"/>
      <sz val="9"/>
    </font>
    <font>
      <name val="Calibri"/>
      <b val="1"/>
      <color rgb="00833C00"/>
      <sz val="9"/>
    </font>
    <font>
      <name val="Calibri"/>
      <b val="1"/>
      <color rgb="00375623"/>
      <sz val="9"/>
    </font>
    <font>
      <name val="Calibri"/>
      <b val="1"/>
      <color rgb="007F6000"/>
      <sz val="9"/>
    </font>
    <font>
      <name val="Calibri"/>
      <b val="1"/>
      <color rgb="00FFFFFF"/>
      <sz val="10"/>
    </font>
    <font>
      <name val="Calibri"/>
      <b val="1"/>
      <color rgb="00000000"/>
      <sz val="10"/>
    </font>
    <font>
      <name val="Calibri"/>
      <color rgb="00000000"/>
      <sz val="10"/>
    </font>
    <font>
      <name val="Calibri"/>
      <color rgb="00808080"/>
      <sz val="9"/>
    </font>
    <font>
      <name val="Calibri"/>
      <i val="1"/>
      <color rgb="00808080"/>
      <sz val="9"/>
    </font>
    <font>
      <name val="Calibri"/>
      <i val="1"/>
      <color rgb="00375623"/>
      <sz val="10"/>
    </font>
    <font>
      <name val="Calibri"/>
      <b val="1"/>
      <color rgb="00FFFFFF"/>
      <sz val="11"/>
    </font>
    <font>
      <name val="Calibri"/>
      <color rgb="000000FF"/>
      <sz val="10"/>
    </font>
    <font>
      <name val="Calibri"/>
      <i val="1"/>
      <color rgb="00666666"/>
      <sz val="9"/>
    </font>
    <font>
      <b val="1"/>
      <color rgb="006B000C"/>
      <sz val="14"/>
    </font>
    <font>
      <b val="1"/>
      <color rgb="00444444"/>
      <sz val="9"/>
    </font>
    <font/>
    <font>
      <name val="Helvetica"/>
      <b val="1"/>
      <color rgb="FF990013"/>
      <sz val="11"/>
    </font>
    <font>
      <name val="Helvetica"/>
      <b val="1"/>
      <i val="1"/>
      <color rgb="FF990013"/>
      <sz val="11"/>
    </font>
    <font>
      <name val="Helvetica"/>
      <color rgb="FF0000FF"/>
      <sz val="11"/>
    </font>
    <font>
      <name val="Helvetica"/>
      <color rgb="FF000000"/>
      <sz val="11"/>
    </font>
    <font>
      <name val="Helvetica"/>
      <b val="1"/>
      <color rgb="FFFFFFFF"/>
      <sz val="11"/>
    </font>
    <font>
      <name val="Helvetica"/>
      <b val="1"/>
      <color rgb="00990013"/>
      <sz val="16"/>
    </font>
    <font>
      <name val="Helvetica"/>
      <color rgb="00000000"/>
      <sz val="9"/>
    </font>
    <font>
      <name val="Helvetica"/>
      <b val="1"/>
      <color rgb="001F4E79"/>
      <sz val="9"/>
    </font>
    <font>
      <name val="Helvetica"/>
      <b val="1"/>
      <color rgb="00833C00"/>
      <sz val="9"/>
    </font>
    <font>
      <name val="Helvetica"/>
      <b val="1"/>
      <color rgb="00375623"/>
      <sz val="9"/>
    </font>
    <font>
      <name val="Helvetica"/>
      <b val="1"/>
      <color rgb="007F6000"/>
      <sz val="9"/>
    </font>
    <font>
      <name val="Helvetica"/>
      <b val="1"/>
      <color rgb="00FFFFFF"/>
      <sz val="10"/>
    </font>
    <font>
      <name val="Helvetica"/>
      <b val="1"/>
      <color rgb="00000000"/>
      <sz val="10"/>
    </font>
    <font>
      <name val="Helvetica"/>
      <i val="1"/>
      <color rgb="00808080"/>
      <sz val="9"/>
    </font>
    <font>
      <name val="Helvetica"/>
      <color rgb="00000000"/>
      <sz val="10"/>
    </font>
    <font>
      <name val="Helvetica"/>
      <i val="1"/>
      <color rgb="00375623"/>
      <sz val="10"/>
    </font>
    <font>
      <name val="Helvetica"/>
      <color theme="1"/>
      <sz val="11"/>
    </font>
    <font>
      <name val="Helvetica"/>
      <i val="1"/>
      <color rgb="00666666"/>
      <sz val="9"/>
    </font>
    <font>
      <name val="Helvetica"/>
      <color rgb="FF1F4E79"/>
      <sz val="11"/>
    </font>
    <font>
      <name val="Helvetica"/>
      <b val="1"/>
      <color rgb="FF990013"/>
      <sz val="12"/>
    </font>
    <font>
      <b val="1"/>
      <color rgb="006B000C"/>
      <sz val="16"/>
    </font>
    <font>
      <b val="1"/>
      <color rgb="006B000C"/>
      <sz val="12"/>
    </font>
    <font>
      <name val="Helvetica"/>
      <b val="1"/>
      <color rgb="00FFFFFF"/>
      <sz val="11"/>
    </font>
    <font>
      <name val="Helvetica"/>
      <color rgb="000000FF"/>
      <sz val="10"/>
    </font>
  </fonts>
  <fills count="21">
    <fill>
      <patternFill/>
    </fill>
    <fill>
      <patternFill patternType="gray125"/>
    </fill>
    <fill>
      <patternFill patternType="solid">
        <fgColor rgb="FFF2E4B7"/>
        <bgColor rgb="FFD9D9D9"/>
      </patternFill>
    </fill>
    <fill>
      <patternFill patternType="solid">
        <fgColor rgb="FFF5F5F5"/>
        <bgColor rgb="FFF9F9F9"/>
      </patternFill>
    </fill>
    <fill>
      <patternFill patternType="solid">
        <fgColor rgb="FF6B000C"/>
        <bgColor rgb="FF990013"/>
      </patternFill>
    </fill>
    <fill>
      <patternFill patternType="solid">
        <fgColor rgb="FFFFF8E1"/>
        <bgColor rgb="FFF9F9F9"/>
      </patternFill>
    </fill>
    <fill>
      <patternFill patternType="solid">
        <fgColor rgb="00FFFFFF"/>
      </patternFill>
    </fill>
    <fill>
      <patternFill patternType="solid">
        <fgColor rgb="00DDEBF7"/>
      </patternFill>
    </fill>
    <fill>
      <patternFill patternType="solid">
        <fgColor rgb="00FCE4D6"/>
      </patternFill>
    </fill>
    <fill>
      <patternFill patternType="solid">
        <fgColor rgb="00E2EFDA"/>
      </patternFill>
    </fill>
    <fill>
      <patternFill patternType="solid">
        <fgColor rgb="00FFF2CC"/>
      </patternFill>
    </fill>
    <fill>
      <patternFill patternType="solid">
        <fgColor rgb="006B000C"/>
      </patternFill>
    </fill>
    <fill>
      <patternFill patternType="solid">
        <fgColor rgb="003D3D3D"/>
      </patternFill>
    </fill>
    <fill>
      <patternFill patternType="solid">
        <fgColor rgb="00D6D6D6"/>
      </patternFill>
    </fill>
    <fill>
      <patternFill patternType="solid">
        <fgColor rgb="00F5F5F5"/>
      </patternFill>
    </fill>
    <fill>
      <patternFill patternType="solid">
        <fgColor rgb="FFF2E4B7"/>
      </patternFill>
    </fill>
    <fill>
      <patternFill patternType="solid">
        <fgColor rgb="FFF5F5F5"/>
      </patternFill>
    </fill>
    <fill>
      <patternFill patternType="solid">
        <fgColor rgb="FF6B000C"/>
      </patternFill>
    </fill>
    <fill>
      <patternFill patternType="solid">
        <fgColor rgb="FFE2EFDA"/>
      </patternFill>
    </fill>
    <fill>
      <patternFill patternType="solid">
        <fgColor rgb="00F2E9DC"/>
      </patternFill>
    </fill>
    <fill>
      <patternFill patternType="solid">
        <fgColor rgb="FFD9D9D9"/>
      </patternFill>
    </fill>
  </fills>
  <borders count="9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</border>
    <border/>
  </borders>
  <cellStyleXfs count="1">
    <xf numFmtId="0" fontId="0" fillId="0" borderId="0"/>
  </cellStyleXfs>
  <cellXfs count="5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2" fillId="3" borderId="0" pivotButton="0" quotePrefix="0" xfId="0"/>
    <xf numFmtId="165" fontId="2" fillId="3" borderId="0" pivotButton="0" quotePrefix="0" xfId="0"/>
    <xf numFmtId="164" fontId="3" fillId="0" borderId="1" pivotButton="0" quotePrefix="0" xfId="0"/>
    <xf numFmtId="164" fontId="3" fillId="3" borderId="1" pivotButton="0" quotePrefix="0" xfId="0"/>
    <xf numFmtId="0" fontId="2" fillId="0" borderId="2" pivotButton="0" quotePrefix="0" xfId="0"/>
    <xf numFmtId="0" fontId="2" fillId="0" borderId="3" pivotButton="0" quotePrefix="0" xfId="0"/>
    <xf numFmtId="0" fontId="2" fillId="3" borderId="0" pivotButton="0" quotePrefix="0" xfId="0"/>
    <xf numFmtId="0" fontId="3" fillId="0" borderId="0" pivotButton="0" quotePrefix="0" xfId="0"/>
    <xf numFmtId="0" fontId="3" fillId="2" borderId="0" pivotButton="0" quotePrefix="0" xfId="0"/>
    <xf numFmtId="0" fontId="0" fillId="0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3" borderId="1" pivotButton="0" quotePrefix="0" xfId="0"/>
    <xf numFmtId="165" fontId="5" fillId="3" borderId="1" applyAlignment="1" pivotButton="0" quotePrefix="0" xfId="0">
      <alignment horizontal="right"/>
    </xf>
    <xf numFmtId="0" fontId="5" fillId="0" borderId="1" pivotButton="0" quotePrefix="0" xfId="0"/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3" fontId="5" fillId="3" borderId="1" pivotButton="0" quotePrefix="0" xfId="0"/>
    <xf numFmtId="166" fontId="5" fillId="0" borderId="1" pivotButton="0" quotePrefix="0" xfId="0"/>
    <xf numFmtId="165" fontId="5" fillId="3" borderId="1" pivotButton="0" quotePrefix="0" xfId="0"/>
    <xf numFmtId="165" fontId="5" fillId="0" borderId="1" pivotButton="0" quotePrefix="0" xfId="0"/>
    <xf numFmtId="166" fontId="5" fillId="3" borderId="1" pivotButton="0" quotePrefix="0" xfId="0"/>
    <xf numFmtId="164" fontId="5" fillId="3" borderId="1" pivotButton="0" quotePrefix="0" xfId="0"/>
    <xf numFmtId="164" fontId="5" fillId="0" borderId="1" pivotButton="0" quotePrefix="0" xfId="0"/>
    <xf numFmtId="0" fontId="3" fillId="2" borderId="0" pivotButton="0" quotePrefix="0" xfId="0"/>
    <xf numFmtId="0" fontId="6" fillId="3" borderId="1" pivotButton="0" quotePrefix="0" xfId="0"/>
    <xf numFmtId="0" fontId="7" fillId="0" borderId="1" pivotButton="0" quotePrefix="0" xfId="0"/>
    <xf numFmtId="49" fontId="5" fillId="0" borderId="1" pivotButton="0" quotePrefix="0" xfId="0"/>
    <xf numFmtId="0" fontId="8" fillId="0" borderId="4" pivotButton="0" quotePrefix="0" xfId="0"/>
    <xf numFmtId="0" fontId="6" fillId="0" borderId="1" pivotButton="0" quotePrefix="0" xfId="0"/>
    <xf numFmtId="0" fontId="8" fillId="0" borderId="1" pivotButton="0" quotePrefix="0" xfId="0"/>
    <xf numFmtId="0" fontId="8" fillId="3" borderId="1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pivotButton="0" quotePrefix="0" xfId="0"/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0" fontId="4" fillId="4" borderId="1" applyAlignment="1" pivotButton="0" quotePrefix="0" xfId="0">
      <alignment horizontal="center" wrapText="1"/>
    </xf>
    <xf numFmtId="167" fontId="9" fillId="0" borderId="1" pivotButton="0" quotePrefix="0" xfId="0"/>
    <xf numFmtId="3" fontId="6" fillId="3" borderId="1" pivotButton="0" quotePrefix="0" xfId="0"/>
    <xf numFmtId="3" fontId="5" fillId="0" borderId="1" pivotButton="0" quotePrefix="0" xfId="0"/>
    <xf numFmtId="167" fontId="5" fillId="0" borderId="1" pivotButton="0" quotePrefix="0" xfId="0"/>
    <xf numFmtId="168" fontId="5" fillId="0" borderId="1" pivotButton="0" quotePrefix="0" xfId="0"/>
    <xf numFmtId="3" fontId="6" fillId="0" borderId="1" pivotButton="0" quotePrefix="0" xfId="0"/>
    <xf numFmtId="3" fontId="9" fillId="3" borderId="1" pivotButton="0" quotePrefix="0" xfId="0"/>
    <xf numFmtId="167" fontId="9" fillId="3" borderId="1" pivotButton="0" quotePrefix="0" xfId="0"/>
    <xf numFmtId="164" fontId="6" fillId="3" borderId="1" pivotButton="0" quotePrefix="0" xfId="0"/>
    <xf numFmtId="0" fontId="4" fillId="4" borderId="1" applyAlignment="1" pivotButton="0" quotePrefix="0" xfId="0">
      <alignment horizontal="center"/>
    </xf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4" fontId="6" fillId="0" borderId="1" pivotButton="0" quotePrefix="0" xfId="0"/>
    <xf numFmtId="167" fontId="4" fillId="4" borderId="1" applyAlignment="1" pivotButton="0" quotePrefix="0" xfId="0">
      <alignment horizontal="center"/>
    </xf>
    <xf numFmtId="0" fontId="9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9" fillId="3" borderId="1" pivotButton="0" quotePrefix="0" xfId="0"/>
    <xf numFmtId="0" fontId="9" fillId="0" borderId="1" pivotButton="0" quotePrefix="0" xfId="0"/>
    <xf numFmtId="0" fontId="9" fillId="3" borderId="1" pivotButton="0" quotePrefix="0" xfId="0"/>
    <xf numFmtId="3" fontId="9" fillId="3" borderId="1" applyAlignment="1" pivotButton="0" quotePrefix="0" xfId="0">
      <alignment horizontal="right"/>
    </xf>
    <xf numFmtId="3" fontId="9" fillId="0" borderId="1" applyAlignment="1" pivotButton="0" quotePrefix="0" xfId="0">
      <alignment horizontal="right"/>
    </xf>
    <xf numFmtId="3" fontId="5" fillId="3" borderId="1" applyAlignment="1" pivotButton="0" quotePrefix="0" xfId="0">
      <alignment horizontal="right"/>
    </xf>
    <xf numFmtId="3" fontId="5" fillId="0" borderId="1" applyAlignment="1" pivotButton="0" quotePrefix="0" xfId="0">
      <alignment horizontal="right"/>
    </xf>
    <xf numFmtId="164" fontId="9" fillId="0" borderId="1" applyAlignment="1" pivotButton="0" quotePrefix="0" xfId="0">
      <alignment horizontal="right"/>
    </xf>
    <xf numFmtId="166" fontId="9" fillId="3" borderId="1" applyAlignment="1" pivotButton="0" quotePrefix="0" xfId="0">
      <alignment horizontal="right"/>
    </xf>
    <xf numFmtId="0" fontId="0" fillId="0" borderId="0" pivotButton="0" quotePrefix="0" xfId="0"/>
    <xf numFmtId="166" fontId="9" fillId="3" borderId="1" applyAlignment="1" pivotButton="0" quotePrefix="0" xfId="0">
      <alignment horizontal="right"/>
    </xf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165" fontId="5" fillId="0" borderId="1" pivotButton="0" quotePrefix="0" xfId="0"/>
    <xf numFmtId="165" fontId="2" fillId="3" borderId="0" pivotButton="0" quotePrefix="0" xfId="0"/>
    <xf numFmtId="166" fontId="5" fillId="3" borderId="1" pivotButton="0" quotePrefix="0" xfId="0"/>
    <xf numFmtId="165" fontId="5" fillId="3" borderId="1" pivotButton="0" quotePrefix="0" xfId="0"/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6" fontId="5" fillId="0" borderId="1" pivotButton="0" quotePrefix="0" xfId="0"/>
    <xf numFmtId="0" fontId="10" fillId="6" borderId="0" applyAlignment="1" pivotButton="0" quotePrefix="0" xfId="0">
      <alignment horizontal="left" vertical="center"/>
    </xf>
    <xf numFmtId="0" fontId="0" fillId="6" borderId="0" pivotButton="0" quotePrefix="0" xfId="0"/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7" fillId="8" borderId="0" applyAlignment="1" pivotButton="0" quotePrefix="0" xfId="0">
      <alignment horizontal="left" vertical="center"/>
    </xf>
    <xf numFmtId="0" fontId="18" fillId="8" borderId="0" applyAlignment="1" pivotButton="0" quotePrefix="0" xfId="0">
      <alignment horizontal="center" vertical="center"/>
    </xf>
    <xf numFmtId="0" fontId="19" fillId="8" borderId="0" applyAlignment="1" pivotButton="0" quotePrefix="0" xfId="0">
      <alignment horizontal="center" vertical="center"/>
    </xf>
    <xf numFmtId="0" fontId="20" fillId="8" borderId="0" applyAlignment="1" pivotButton="0" quotePrefix="0" xfId="0">
      <alignment horizontal="left" vertical="center"/>
    </xf>
    <xf numFmtId="0" fontId="0" fillId="8" borderId="0" pivotButton="0" quotePrefix="0" xfId="0"/>
    <xf numFmtId="0" fontId="17" fillId="7" borderId="0" applyAlignment="1" pivotButton="0" quotePrefix="0" xfId="0">
      <alignment horizontal="left" vertical="center"/>
    </xf>
    <xf numFmtId="0" fontId="18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left" vertical="center"/>
    </xf>
    <xf numFmtId="0" fontId="0" fillId="7" borderId="0" pivotButton="0" quotePrefix="0" xfId="0"/>
    <xf numFmtId="0" fontId="17" fillId="9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center" vertical="center"/>
    </xf>
    <xf numFmtId="0" fontId="19" fillId="9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0" fontId="0" fillId="9" borderId="0" pivotButton="0" quotePrefix="0" xfId="0"/>
    <xf numFmtId="168" fontId="18" fillId="8" borderId="0" applyAlignment="1" pivotButton="0" quotePrefix="0" xfId="0">
      <alignment horizontal="center" vertical="center"/>
    </xf>
    <xf numFmtId="0" fontId="17" fillId="10" borderId="0" applyAlignment="1" pivotButton="0" quotePrefix="0" xfId="0">
      <alignment horizontal="left" vertical="center"/>
    </xf>
    <xf numFmtId="0" fontId="18" fillId="10" borderId="0" applyAlignment="1" pivotButton="0" quotePrefix="0" xfId="0">
      <alignment horizontal="center" vertical="center"/>
    </xf>
    <xf numFmtId="0" fontId="19" fillId="10" borderId="0" applyAlignment="1" pivotButton="0" quotePrefix="0" xfId="0">
      <alignment horizontal="center" vertical="center"/>
    </xf>
    <xf numFmtId="0" fontId="20" fillId="10" borderId="0" applyAlignment="1" pivotButton="0" quotePrefix="0" xfId="0">
      <alignment horizontal="left" vertical="center"/>
    </xf>
    <xf numFmtId="0" fontId="0" fillId="10" borderId="0" pivotButton="0" quotePrefix="0" xfId="0"/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0" fillId="12" borderId="0" pivotButton="0" quotePrefix="0" xfId="0"/>
    <xf numFmtId="2" fontId="18" fillId="8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/>
    </xf>
    <xf numFmtId="169" fontId="18" fillId="8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/>
    </xf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7" fillId="8" borderId="0" applyAlignment="1" pivotButton="0" quotePrefix="0" xfId="0">
      <alignment horizontal="left" vertical="center"/>
    </xf>
    <xf numFmtId="0" fontId="18" fillId="8" borderId="0" applyAlignment="1" pivotButton="0" quotePrefix="0" xfId="0">
      <alignment horizontal="center" vertical="center"/>
    </xf>
    <xf numFmtId="0" fontId="19" fillId="8" borderId="0" applyAlignment="1" pivotButton="0" quotePrefix="0" xfId="0">
      <alignment horizontal="center" vertical="center"/>
    </xf>
    <xf numFmtId="0" fontId="20" fillId="8" borderId="0" applyAlignment="1" pivotButton="0" quotePrefix="0" xfId="0">
      <alignment horizontal="left" vertical="center"/>
    </xf>
    <xf numFmtId="0" fontId="17" fillId="7" borderId="0" applyAlignment="1" pivotButton="0" quotePrefix="0" xfId="0">
      <alignment horizontal="left" vertical="center"/>
    </xf>
    <xf numFmtId="0" fontId="18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left" vertical="center"/>
    </xf>
    <xf numFmtId="0" fontId="17" fillId="9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center" vertical="center"/>
    </xf>
    <xf numFmtId="0" fontId="19" fillId="9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168" fontId="18" fillId="8" borderId="0" applyAlignment="1" pivotButton="0" quotePrefix="0" xfId="0">
      <alignment horizontal="center" vertical="center"/>
    </xf>
    <xf numFmtId="0" fontId="17" fillId="10" borderId="0" applyAlignment="1" pivotButton="0" quotePrefix="0" xfId="0">
      <alignment horizontal="left" vertical="center"/>
    </xf>
    <xf numFmtId="168" fontId="18" fillId="10" borderId="0" applyAlignment="1" pivotButton="0" quotePrefix="0" xfId="0">
      <alignment horizontal="center" vertical="center"/>
    </xf>
    <xf numFmtId="0" fontId="19" fillId="10" borderId="0" applyAlignment="1" pivotButton="0" quotePrefix="0" xfId="0">
      <alignment horizontal="center" vertical="center"/>
    </xf>
    <xf numFmtId="0" fontId="20" fillId="10" borderId="0" applyAlignment="1" pivotButton="0" quotePrefix="0" xfId="0">
      <alignment horizontal="left" vertical="center"/>
    </xf>
    <xf numFmtId="168" fontId="18" fillId="7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2" fontId="18" fillId="8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/>
    </xf>
    <xf numFmtId="169" fontId="18" fillId="8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3" fontId="5" fillId="9" borderId="1" applyAlignment="1" pivotButton="0" quotePrefix="0" xfId="0">
      <alignment horizontal="right"/>
    </xf>
    <xf numFmtId="3" fontId="9" fillId="9" borderId="1" applyAlignment="1" pivotButton="0" quotePrefix="0" xfId="0">
      <alignment horizontal="right"/>
    </xf>
    <xf numFmtId="0" fontId="2" fillId="6" borderId="0" pivotButton="0" quotePrefix="0" xfId="0"/>
    <xf numFmtId="165" fontId="9" fillId="8" borderId="1" pivotButton="0" quotePrefix="0" xfId="0"/>
    <xf numFmtId="166" fontId="9" fillId="8" borderId="1" pivotButton="0" quotePrefix="0" xfId="0"/>
    <xf numFmtId="165" fontId="9" fillId="10" borderId="1" pivotButton="0" quotePrefix="0" xfId="0"/>
    <xf numFmtId="165" fontId="6" fillId="9" borderId="1" pivotButton="0" quotePrefix="0" xfId="0"/>
    <xf numFmtId="165" fontId="9" fillId="7" borderId="1" pivotButton="0" quotePrefix="0" xfId="0"/>
    <xf numFmtId="167" fontId="9" fillId="10" borderId="1" pivotButton="0" quotePrefix="0" xfId="0"/>
    <xf numFmtId="0" fontId="2" fillId="9" borderId="0" pivotButton="0" quotePrefix="0" xfId="0"/>
    <xf numFmtId="3" fontId="6" fillId="9" borderId="1" pivotButton="0" quotePrefix="0" xfId="0"/>
    <xf numFmtId="3" fontId="5" fillId="9" borderId="1" pivotButton="0" quotePrefix="0" xfId="0"/>
    <xf numFmtId="165" fontId="5" fillId="9" borderId="1" pivotButton="0" quotePrefix="0" xfId="0"/>
    <xf numFmtId="167" fontId="5" fillId="9" borderId="1" pivotButton="0" quotePrefix="0" xfId="0"/>
    <xf numFmtId="165" fontId="2" fillId="9" borderId="0" pivotButton="0" quotePrefix="0" xfId="0"/>
    <xf numFmtId="168" fontId="5" fillId="9" borderId="1" pivotButton="0" quotePrefix="0" xfId="0"/>
    <xf numFmtId="3" fontId="9" fillId="9" borderId="1" pivotButton="0" quotePrefix="0" xfId="0"/>
    <xf numFmtId="166" fontId="5" fillId="9" borderId="1" pivotButton="0" quotePrefix="0" xfId="0"/>
    <xf numFmtId="164" fontId="3" fillId="9" borderId="1" pivotButton="0" quotePrefix="0" xfId="0"/>
    <xf numFmtId="0" fontId="4" fillId="9" borderId="1" applyAlignment="1" pivotButton="0" quotePrefix="0" xfId="0">
      <alignment horizontal="center" wrapText="1"/>
    </xf>
    <xf numFmtId="164" fontId="5" fillId="9" borderId="1" pivotButton="0" quotePrefix="0" xfId="0"/>
    <xf numFmtId="165" fontId="9" fillId="9" borderId="1" pivotButton="0" quotePrefix="0" xfId="0"/>
    <xf numFmtId="0" fontId="7" fillId="9" borderId="1" pivotButton="0" quotePrefix="0" xfId="0"/>
    <xf numFmtId="164" fontId="6" fillId="9" borderId="1" pivotButton="0" quotePrefix="0" xfId="0"/>
    <xf numFmtId="164" fontId="5" fillId="8" borderId="1" pivotButton="0" quotePrefix="0" xfId="0"/>
    <xf numFmtId="0" fontId="10" fillId="6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17" fillId="13" borderId="0" applyAlignment="1" pivotButton="0" quotePrefix="0" xfId="0">
      <alignment horizontal="left" vertical="center"/>
    </xf>
    <xf numFmtId="0" fontId="18" fillId="13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8" fillId="6" borderId="0" pivotButton="0" quotePrefix="0" xfId="0"/>
    <xf numFmtId="0" fontId="17" fillId="14" borderId="0" applyAlignment="1" pivotButton="0" quotePrefix="0" xfId="0">
      <alignment horizontal="left" vertical="center"/>
    </xf>
    <xf numFmtId="166" fontId="23" fillId="14" borderId="0" applyAlignment="1" pivotButton="0" quotePrefix="0" xfId="0">
      <alignment horizontal="center" vertical="center"/>
    </xf>
    <xf numFmtId="169" fontId="23" fillId="14" borderId="0" applyAlignment="1" pivotButton="0" quotePrefix="0" xfId="0">
      <alignment horizontal="center" vertical="center"/>
    </xf>
    <xf numFmtId="2" fontId="23" fillId="14" borderId="0" applyAlignment="1" pivotButton="0" quotePrefix="0" xfId="0">
      <alignment horizontal="center" vertical="center"/>
    </xf>
    <xf numFmtId="49" fontId="24" fillId="14" borderId="0" applyAlignment="1" pivotButton="0" quotePrefix="0" xfId="0">
      <alignment horizontal="center" vertical="center"/>
    </xf>
    <xf numFmtId="0" fontId="25" fillId="0" borderId="0" pivotButton="0" quotePrefix="0" xfId="0"/>
    <xf numFmtId="0" fontId="26" fillId="0" borderId="0" pivotButton="0" quotePrefix="0" xfId="0"/>
    <xf numFmtId="0" fontId="4" fillId="4" borderId="0" applyAlignment="1" pivotButton="0" quotePrefix="0" xfId="0">
      <alignment horizontal="center" vertical="center" wrapText="1"/>
    </xf>
    <xf numFmtId="0" fontId="27" fillId="0" borderId="0" pivotButton="0" quotePrefix="0" xfId="0"/>
    <xf numFmtId="3" fontId="9" fillId="3" borderId="1" applyAlignment="1" pivotButton="0" quotePrefix="0" xfId="0">
      <alignment horizontal="right" vertical="center"/>
    </xf>
    <xf numFmtId="0" fontId="9" fillId="3" borderId="0" applyAlignment="1" pivotButton="0" quotePrefix="0" xfId="0">
      <alignment horizontal="right" vertical="center"/>
    </xf>
    <xf numFmtId="3" fontId="9" fillId="0" borderId="1" applyAlignment="1" pivotButton="0" quotePrefix="0" xfId="0">
      <alignment horizontal="right" vertical="center"/>
    </xf>
    <xf numFmtId="0" fontId="9" fillId="0" borderId="0" applyAlignment="1" pivotButton="0" quotePrefix="0" xfId="0">
      <alignment horizontal="right" vertical="center"/>
    </xf>
    <xf numFmtId="3" fontId="5" fillId="9" borderId="1" applyAlignment="1" pivotButton="0" quotePrefix="0" xfId="0">
      <alignment horizontal="right" vertical="center"/>
    </xf>
    <xf numFmtId="0" fontId="5" fillId="9" borderId="0" applyAlignment="1" pivotButton="0" quotePrefix="0" xfId="0">
      <alignment horizontal="right" vertical="center"/>
    </xf>
    <xf numFmtId="3" fontId="5" fillId="0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right" vertical="center"/>
    </xf>
    <xf numFmtId="3" fontId="9" fillId="9" borderId="1" applyAlignment="1" pivotButton="0" quotePrefix="0" xfId="0">
      <alignment horizontal="right" vertical="center"/>
    </xf>
    <xf numFmtId="0" fontId="9" fillId="9" borderId="0" applyAlignment="1" pivotButton="0" quotePrefix="0" xfId="0">
      <alignment horizontal="right" vertical="center"/>
    </xf>
    <xf numFmtId="3" fontId="5" fillId="3" borderId="1" applyAlignment="1" pivotButton="0" quotePrefix="0" xfId="0">
      <alignment horizontal="right" vertical="center"/>
    </xf>
    <xf numFmtId="0" fontId="5" fillId="3" borderId="0" applyAlignment="1" pivotButton="0" quotePrefix="0" xfId="0">
      <alignment horizontal="right" vertical="center"/>
    </xf>
    <xf numFmtId="164" fontId="9" fillId="0" borderId="1" applyAlignment="1" pivotButton="0" quotePrefix="0" xfId="0">
      <alignment horizontal="right" vertical="center"/>
    </xf>
    <xf numFmtId="166" fontId="9" fillId="3" borderId="1" applyAlignment="1" pivotButton="0" quotePrefix="0" xfId="0">
      <alignment horizontal="right" vertical="center"/>
    </xf>
    <xf numFmtId="0" fontId="2" fillId="0" borderId="0" applyAlignment="1" pivotButton="0" quotePrefix="0" xfId="0">
      <alignment horizontal="right" vertical="center"/>
    </xf>
    <xf numFmtId="0" fontId="2" fillId="3" borderId="0" applyAlignment="1" pivotButton="0" quotePrefix="0" xfId="0">
      <alignment horizontal="right" vertical="center"/>
    </xf>
    <xf numFmtId="0" fontId="28" fillId="15" borderId="0" applyAlignment="1" pivotButton="0" quotePrefix="0" xfId="0">
      <alignment horizontal="left" vertical="center"/>
    </xf>
    <xf numFmtId="0" fontId="29" fillId="0" borderId="0" pivotButton="0" quotePrefix="0" xfId="0"/>
    <xf numFmtId="0" fontId="30" fillId="16" borderId="0" applyAlignment="1" pivotButton="0" quotePrefix="0" xfId="0">
      <alignment horizontal="right" vertical="center"/>
    </xf>
    <xf numFmtId="0" fontId="30" fillId="0" borderId="0" applyAlignment="1" pivotButton="0" quotePrefix="0" xfId="0">
      <alignment horizontal="right" vertical="center"/>
    </xf>
    <xf numFmtId="165" fontId="31" fillId="16" borderId="1" applyAlignment="1" pivotButton="0" quotePrefix="0" xfId="0">
      <alignment horizontal="right" vertical="center"/>
    </xf>
    <xf numFmtId="0" fontId="31" fillId="16" borderId="0" applyAlignment="1" pivotButton="0" quotePrefix="0" xfId="0">
      <alignment horizontal="right" vertical="center"/>
    </xf>
    <xf numFmtId="165" fontId="31" fillId="0" borderId="1" applyAlignment="1" pivotButton="0" quotePrefix="0" xfId="0">
      <alignment horizontal="right" vertical="center"/>
    </xf>
    <xf numFmtId="0" fontId="31" fillId="0" borderId="0" applyAlignment="1" pivotButton="0" quotePrefix="0" xfId="0">
      <alignment horizontal="right" vertical="center"/>
    </xf>
    <xf numFmtId="0" fontId="29" fillId="0" borderId="1" pivotButton="0" quotePrefix="0" xfId="0"/>
    <xf numFmtId="0" fontId="32" fillId="17" borderId="0" pivotButton="0" quotePrefix="0" xfId="0"/>
    <xf numFmtId="0" fontId="31" fillId="16" borderId="0" applyAlignment="1" pivotButton="0" quotePrefix="0" xfId="0">
      <alignment horizontal="left" vertical="center"/>
    </xf>
    <xf numFmtId="0" fontId="31" fillId="0" borderId="0" applyAlignment="1" pivotButton="0" quotePrefix="0" xfId="0">
      <alignment horizontal="left" vertical="center"/>
    </xf>
    <xf numFmtId="0" fontId="31" fillId="16" borderId="1" applyAlignment="1" pivotButton="0" quotePrefix="0" xfId="0">
      <alignment horizontal="left" vertical="center"/>
    </xf>
    <xf numFmtId="0" fontId="31" fillId="0" borderId="1" applyAlignment="1" pivotButton="0" quotePrefix="0" xfId="0">
      <alignment horizontal="left" vertical="center"/>
    </xf>
    <xf numFmtId="0" fontId="32" fillId="17" borderId="1" applyAlignment="1" pivotButton="0" quotePrefix="0" xfId="0">
      <alignment horizontal="center" vertical="center" wrapText="1"/>
    </xf>
    <xf numFmtId="0" fontId="32" fillId="17" borderId="0" applyAlignment="1" pivotButton="0" quotePrefix="0" xfId="0">
      <alignment horizontal="center" vertical="center" wrapText="1"/>
    </xf>
    <xf numFmtId="0" fontId="31" fillId="0" borderId="1" pivotButton="0" quotePrefix="0" xfId="0"/>
    <xf numFmtId="0" fontId="31" fillId="0" borderId="0" pivotButton="0" quotePrefix="0" xfId="0"/>
    <xf numFmtId="166" fontId="5" fillId="0" borderId="1" applyAlignment="1" pivotButton="0" quotePrefix="0" xfId="0">
      <alignment horizontal="right" vertical="center"/>
    </xf>
    <xf numFmtId="166" fontId="5" fillId="3" borderId="1" applyAlignment="1" pivotButton="0" quotePrefix="0" xfId="0">
      <alignment horizontal="right" vertical="center"/>
    </xf>
    <xf numFmtId="0" fontId="0" fillId="0" borderId="0" applyAlignment="1" pivotButton="0" quotePrefix="0" xfId="0">
      <alignment horizontal="right" vertical="center"/>
    </xf>
    <xf numFmtId="164" fontId="5" fillId="3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165" fontId="5" fillId="0" borderId="1" applyAlignment="1" pivotButton="0" quotePrefix="0" xfId="0">
      <alignment horizontal="right" vertical="center"/>
    </xf>
    <xf numFmtId="165" fontId="5" fillId="3" borderId="1" applyAlignment="1" pivotButton="0" quotePrefix="0" xfId="0">
      <alignment horizontal="right" vertical="center"/>
    </xf>
    <xf numFmtId="49" fontId="5" fillId="0" borderId="1" applyAlignment="1" pivotButton="0" quotePrefix="0" xfId="0">
      <alignment horizontal="right" vertical="center"/>
    </xf>
    <xf numFmtId="0" fontId="28" fillId="0" borderId="0" applyAlignment="1" pivotButton="0" quotePrefix="0" xfId="0">
      <alignment horizontal="left" vertical="center"/>
    </xf>
    <xf numFmtId="0" fontId="9" fillId="3" borderId="1" applyAlignment="1" pivotButton="0" quotePrefix="0" xfId="0">
      <alignment horizontal="right" vertical="center"/>
    </xf>
    <xf numFmtId="0" fontId="9" fillId="0" borderId="1" applyAlignment="1" pivotButton="0" quotePrefix="0" xfId="0">
      <alignment horizontal="right" vertical="center"/>
    </xf>
    <xf numFmtId="0" fontId="5" fillId="9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right" vertical="center"/>
    </xf>
    <xf numFmtId="0" fontId="9" fillId="9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right" vertical="center"/>
    </xf>
    <xf numFmtId="0" fontId="31" fillId="16" borderId="7" applyAlignment="1" pivotButton="0" quotePrefix="0" xfId="0">
      <alignment horizontal="left" vertical="center"/>
    </xf>
    <xf numFmtId="0" fontId="30" fillId="16" borderId="7" applyAlignment="1" pivotButton="0" quotePrefix="0" xfId="0">
      <alignment horizontal="right" vertical="center"/>
    </xf>
    <xf numFmtId="0" fontId="0" fillId="0" borderId="8" pivotButton="0" quotePrefix="0" xfId="0"/>
    <xf numFmtId="0" fontId="30" fillId="0" borderId="8" applyAlignment="1" pivotButton="0" quotePrefix="0" xfId="0">
      <alignment horizontal="right" vertical="center"/>
    </xf>
    <xf numFmtId="0" fontId="31" fillId="0" borderId="7" applyAlignment="1" pivotButton="0" quotePrefix="0" xfId="0">
      <alignment horizontal="left" vertical="center"/>
    </xf>
    <xf numFmtId="0" fontId="30" fillId="0" borderId="7" applyAlignment="1" pivotButton="0" quotePrefix="0" xfId="0">
      <alignment horizontal="right" vertical="center"/>
    </xf>
    <xf numFmtId="0" fontId="31" fillId="0" borderId="8" pivotButton="0" quotePrefix="0" xfId="0"/>
    <xf numFmtId="165" fontId="5" fillId="0" borderId="8" applyAlignment="1" pivotButton="0" quotePrefix="0" xfId="0">
      <alignment horizontal="right"/>
    </xf>
    <xf numFmtId="0" fontId="32" fillId="17" borderId="7" applyAlignment="1" pivotButton="0" quotePrefix="0" xfId="0">
      <alignment horizontal="center" vertical="center" wrapText="1"/>
    </xf>
    <xf numFmtId="3" fontId="5" fillId="0" borderId="8" pivotButton="0" quotePrefix="0" xfId="0"/>
    <xf numFmtId="166" fontId="5" fillId="0" borderId="8" pivotButton="0" quotePrefix="0" xfId="0"/>
    <xf numFmtId="165" fontId="5" fillId="0" borderId="8" pivotButton="0" quotePrefix="0" xfId="0"/>
    <xf numFmtId="164" fontId="5" fillId="0" borderId="8" applyAlignment="1" pivotButton="0" quotePrefix="0" xfId="0">
      <alignment horizontal="right"/>
    </xf>
    <xf numFmtId="0" fontId="2" fillId="0" borderId="8" pivotButton="0" quotePrefix="0" xfId="0"/>
    <xf numFmtId="166" fontId="5" fillId="0" borderId="8" applyAlignment="1" pivotButton="0" quotePrefix="0" xfId="0">
      <alignment horizontal="right"/>
    </xf>
    <xf numFmtId="0" fontId="31" fillId="16" borderId="7" applyAlignment="1" pivotButton="0" quotePrefix="0" xfId="0">
      <alignment horizontal="right" vertical="center"/>
    </xf>
    <xf numFmtId="165" fontId="31" fillId="16" borderId="7" applyAlignment="1" pivotButton="0" quotePrefix="0" xfId="0">
      <alignment horizontal="right" vertical="center"/>
    </xf>
    <xf numFmtId="0" fontId="31" fillId="0" borderId="7" applyAlignment="1" pivotButton="0" quotePrefix="0" xfId="0">
      <alignment horizontal="right" vertical="center"/>
    </xf>
    <xf numFmtId="165" fontId="31" fillId="0" borderId="7" applyAlignment="1" pivotButton="0" quotePrefix="0" xfId="0">
      <alignment horizontal="right" vertical="center"/>
    </xf>
    <xf numFmtId="0" fontId="32" fillId="17" borderId="7" applyAlignment="1" pivotButton="0" quotePrefix="0" xfId="0">
      <alignment horizontal="left" vertical="center"/>
    </xf>
    <xf numFmtId="0" fontId="32" fillId="17" borderId="7" applyAlignment="1" pivotButton="0" quotePrefix="0" xfId="0">
      <alignment horizontal="center" vertical="center"/>
    </xf>
    <xf numFmtId="0" fontId="14" fillId="0" borderId="8" applyAlignment="1" pivotButton="0" quotePrefix="0" xfId="0">
      <alignment horizontal="center" vertical="center"/>
    </xf>
    <xf numFmtId="0" fontId="15" fillId="0" borderId="8" applyAlignment="1" pivotButton="0" quotePrefix="0" xfId="0">
      <alignment horizontal="center" vertical="center"/>
    </xf>
    <xf numFmtId="0" fontId="18" fillId="0" borderId="8" applyAlignment="1" pivotButton="0" quotePrefix="0" xfId="0">
      <alignment horizontal="left" vertical="center"/>
    </xf>
    <xf numFmtId="0" fontId="18" fillId="0" borderId="8" applyAlignment="1" pivotButton="0" quotePrefix="0" xfId="0">
      <alignment horizontal="center" vertical="center"/>
    </xf>
    <xf numFmtId="0" fontId="18" fillId="0" borderId="8" pivotButton="0" quotePrefix="0" xfId="0"/>
    <xf numFmtId="166" fontId="30" fillId="0" borderId="7" applyAlignment="1" pivotButton="0" quotePrefix="0" xfId="0">
      <alignment horizontal="right" vertical="center"/>
    </xf>
    <xf numFmtId="169" fontId="30" fillId="16" borderId="7" applyAlignment="1" pivotButton="0" quotePrefix="0" xfId="0">
      <alignment horizontal="right" vertical="center"/>
    </xf>
    <xf numFmtId="169" fontId="30" fillId="0" borderId="7" applyAlignment="1" pivotButton="0" quotePrefix="0" xfId="0">
      <alignment horizontal="right" vertical="center"/>
    </xf>
    <xf numFmtId="2" fontId="30" fillId="16" borderId="7" applyAlignment="1" pivotButton="0" quotePrefix="0" xfId="0">
      <alignment horizontal="right" vertical="center"/>
    </xf>
    <xf numFmtId="2" fontId="30" fillId="0" borderId="7" applyAlignment="1" pivotButton="0" quotePrefix="0" xfId="0">
      <alignment horizontal="right" vertical="center"/>
    </xf>
    <xf numFmtId="0" fontId="33" fillId="6" borderId="0" applyAlignment="1" pivotButton="0" quotePrefix="0" xfId="0">
      <alignment horizontal="left" vertical="center"/>
    </xf>
    <xf numFmtId="0" fontId="34" fillId="6" borderId="0" applyAlignment="1" pivotButton="0" quotePrefix="0" xfId="0">
      <alignment horizontal="left" vertical="center"/>
    </xf>
    <xf numFmtId="0" fontId="35" fillId="7" borderId="0" applyAlignment="1" pivotButton="0" quotePrefix="0" xfId="0">
      <alignment horizontal="center" vertical="center"/>
    </xf>
    <xf numFmtId="0" fontId="36" fillId="8" borderId="0" applyAlignment="1" pivotButton="0" quotePrefix="0" xfId="0">
      <alignment horizontal="center" vertical="center"/>
    </xf>
    <xf numFmtId="0" fontId="37" fillId="9" borderId="0" applyAlignment="1" pivotButton="0" quotePrefix="0" xfId="0">
      <alignment horizontal="center" vertical="center"/>
    </xf>
    <xf numFmtId="0" fontId="38" fillId="10" borderId="0" applyAlignment="1" pivotButton="0" quotePrefix="0" xfId="0">
      <alignment horizontal="center" vertical="center"/>
    </xf>
    <xf numFmtId="0" fontId="39" fillId="11" borderId="0" applyAlignment="1" pivotButton="0" quotePrefix="0" xfId="0">
      <alignment horizontal="left" vertical="center"/>
    </xf>
    <xf numFmtId="0" fontId="40" fillId="8" borderId="0" applyAlignment="1" pivotButton="0" quotePrefix="0" xfId="0">
      <alignment horizontal="left" vertical="center"/>
    </xf>
    <xf numFmtId="0" fontId="41" fillId="8" borderId="0" applyAlignment="1" pivotButton="0" quotePrefix="0" xfId="0">
      <alignment horizontal="left" vertical="center"/>
    </xf>
    <xf numFmtId="0" fontId="42" fillId="8" borderId="0" applyAlignment="1" pivotButton="0" quotePrefix="0" xfId="0">
      <alignment horizontal="center" vertical="center"/>
    </xf>
    <xf numFmtId="0" fontId="40" fillId="7" borderId="0" applyAlignment="1" pivotButton="0" quotePrefix="0" xfId="0">
      <alignment horizontal="left" vertical="center"/>
    </xf>
    <xf numFmtId="0" fontId="42" fillId="7" borderId="0" applyAlignment="1" pivotButton="0" quotePrefix="0" xfId="0">
      <alignment horizontal="center" vertical="center"/>
    </xf>
    <xf numFmtId="0" fontId="40" fillId="9" borderId="0" applyAlignment="1" pivotButton="0" quotePrefix="0" xfId="0">
      <alignment horizontal="left" vertical="center"/>
    </xf>
    <xf numFmtId="0" fontId="43" fillId="9" borderId="0" applyAlignment="1" pivotButton="0" quotePrefix="0" xfId="0">
      <alignment horizontal="center" vertical="center"/>
    </xf>
    <xf numFmtId="168" fontId="42" fillId="8" borderId="0" applyAlignment="1" pivotButton="0" quotePrefix="0" xfId="0">
      <alignment horizontal="center" vertical="center"/>
    </xf>
    <xf numFmtId="0" fontId="40" fillId="10" borderId="0" applyAlignment="1" pivotButton="0" quotePrefix="0" xfId="0">
      <alignment horizontal="left" vertical="center"/>
    </xf>
    <xf numFmtId="0" fontId="39" fillId="12" borderId="0" applyAlignment="1" pivotButton="0" quotePrefix="0" xfId="0">
      <alignment horizontal="left" vertical="center"/>
    </xf>
    <xf numFmtId="0" fontId="41" fillId="6" borderId="0" applyAlignment="1" pivotButton="0" quotePrefix="0" xfId="0">
      <alignment horizontal="left" vertical="center"/>
    </xf>
    <xf numFmtId="0" fontId="44" fillId="0" borderId="0" pivotButton="0" quotePrefix="0" xfId="0"/>
    <xf numFmtId="0" fontId="44" fillId="0" borderId="8" pivotButton="0" quotePrefix="0" xfId="0"/>
    <xf numFmtId="0" fontId="40" fillId="14" borderId="0" applyAlignment="1" pivotButton="0" quotePrefix="0" xfId="0">
      <alignment horizontal="left" vertical="center"/>
    </xf>
    <xf numFmtId="49" fontId="45" fillId="14" borderId="0" applyAlignment="1" pivotButton="0" quotePrefix="0" xfId="0">
      <alignment horizontal="center" vertical="center"/>
    </xf>
    <xf numFmtId="0" fontId="31" fillId="0" borderId="8" applyAlignment="1" pivotButton="0" quotePrefix="0" xfId="0">
      <alignment horizontal="right" vertical="center"/>
    </xf>
    <xf numFmtId="0" fontId="5" fillId="5" borderId="7" pivotButton="0" quotePrefix="0" xfId="0"/>
    <xf numFmtId="165" fontId="9" fillId="8" borderId="7" pivotButton="0" quotePrefix="0" xfId="0"/>
    <xf numFmtId="0" fontId="2" fillId="3" borderId="8" pivotButton="0" quotePrefix="0" xfId="0"/>
    <xf numFmtId="166" fontId="9" fillId="8" borderId="7" pivotButton="0" quotePrefix="0" xfId="0"/>
    <xf numFmtId="165" fontId="9" fillId="10" borderId="7" pivotButton="0" quotePrefix="0" xfId="0"/>
    <xf numFmtId="0" fontId="5" fillId="0" borderId="7" pivotButton="0" quotePrefix="0" xfId="0"/>
    <xf numFmtId="165" fontId="6" fillId="9" borderId="7" pivotButton="0" quotePrefix="0" xfId="0"/>
    <xf numFmtId="165" fontId="9" fillId="7" borderId="7" pivotButton="0" quotePrefix="0" xfId="0"/>
    <xf numFmtId="0" fontId="5" fillId="3" borderId="7" pivotButton="0" quotePrefix="0" xfId="0"/>
    <xf numFmtId="0" fontId="4" fillId="4" borderId="7" applyAlignment="1" pivotButton="0" quotePrefix="0" xfId="0">
      <alignment horizontal="center" wrapText="1"/>
    </xf>
    <xf numFmtId="0" fontId="8" fillId="0" borderId="7" pivotButton="0" quotePrefix="0" xfId="0"/>
    <xf numFmtId="0" fontId="2" fillId="0" borderId="7" pivotButton="0" quotePrefix="0" xfId="0"/>
    <xf numFmtId="165" fontId="9" fillId="3" borderId="7" pivotButton="0" quotePrefix="0" xfId="0"/>
    <xf numFmtId="0" fontId="2" fillId="3" borderId="7" pivotButton="0" quotePrefix="0" xfId="0"/>
    <xf numFmtId="165" fontId="9" fillId="0" borderId="7" pivotButton="0" quotePrefix="0" xfId="0"/>
    <xf numFmtId="167" fontId="9" fillId="10" borderId="7" pivotButton="0" quotePrefix="0" xfId="0"/>
    <xf numFmtId="167" fontId="9" fillId="0" borderId="7" pivotButton="0" quotePrefix="0" xfId="0"/>
    <xf numFmtId="0" fontId="2" fillId="9" borderId="7" pivotButton="0" quotePrefix="0" xfId="0"/>
    <xf numFmtId="0" fontId="6" fillId="3" borderId="7" pivotButton="0" quotePrefix="0" xfId="0"/>
    <xf numFmtId="3" fontId="6" fillId="9" borderId="7" pivotButton="0" quotePrefix="0" xfId="0"/>
    <xf numFmtId="3" fontId="5" fillId="9" borderId="7" pivotButton="0" quotePrefix="0" xfId="0"/>
    <xf numFmtId="3" fontId="5" fillId="0" borderId="7" pivotButton="0" quotePrefix="0" xfId="0"/>
    <xf numFmtId="3" fontId="5" fillId="3" borderId="7" pivotButton="0" quotePrefix="0" xfId="0"/>
    <xf numFmtId="3" fontId="6" fillId="3" borderId="7" pivotButton="0" quotePrefix="0" xfId="0"/>
    <xf numFmtId="0" fontId="8" fillId="3" borderId="7" pivotButton="0" quotePrefix="0" xfId="0"/>
    <xf numFmtId="165" fontId="5" fillId="9" borderId="7" pivotButton="0" quotePrefix="0" xfId="0"/>
    <xf numFmtId="167" fontId="5" fillId="9" borderId="7" pivotButton="0" quotePrefix="0" xfId="0"/>
    <xf numFmtId="165" fontId="2" fillId="9" borderId="7" pivotButton="0" quotePrefix="0" xfId="0"/>
    <xf numFmtId="168" fontId="5" fillId="9" borderId="7" pivotButton="0" quotePrefix="0" xfId="0"/>
    <xf numFmtId="168" fontId="5" fillId="0" borderId="7" pivotButton="0" quotePrefix="0" xfId="0"/>
    <xf numFmtId="0" fontId="6" fillId="0" borderId="7" pivotButton="0" quotePrefix="0" xfId="0"/>
    <xf numFmtId="3" fontId="9" fillId="9" borderId="7" pivotButton="0" quotePrefix="0" xfId="0"/>
    <xf numFmtId="166" fontId="5" fillId="9" borderId="7" pivotButton="0" quotePrefix="0" xfId="0"/>
    <xf numFmtId="164" fontId="3" fillId="9" borderId="7" pivotButton="0" quotePrefix="0" xfId="0"/>
    <xf numFmtId="167" fontId="9" fillId="3" borderId="7" pivotButton="0" quotePrefix="0" xfId="0"/>
    <xf numFmtId="0" fontId="4" fillId="9" borderId="7" applyAlignment="1" pivotButton="0" quotePrefix="0" xfId="0">
      <alignment horizontal="center" wrapText="1"/>
    </xf>
    <xf numFmtId="164" fontId="5" fillId="9" borderId="7" pivotButton="0" quotePrefix="0" xfId="0"/>
    <xf numFmtId="164" fontId="5" fillId="3" borderId="7" pivotButton="0" quotePrefix="0" xfId="0"/>
    <xf numFmtId="164" fontId="5" fillId="0" borderId="7" pivotButton="0" quotePrefix="0" xfId="0"/>
    <xf numFmtId="165" fontId="9" fillId="9" borderId="7" pivotButton="0" quotePrefix="0" xfId="0"/>
    <xf numFmtId="0" fontId="7" fillId="9" borderId="7" pivotButton="0" quotePrefix="0" xfId="0"/>
    <xf numFmtId="165" fontId="5" fillId="0" borderId="7" pivotButton="0" quotePrefix="0" xfId="0"/>
    <xf numFmtId="165" fontId="5" fillId="3" borderId="7" pivotButton="0" quotePrefix="0" xfId="0"/>
    <xf numFmtId="164" fontId="6" fillId="9" borderId="7" pivotButton="0" quotePrefix="0" xfId="0"/>
    <xf numFmtId="164" fontId="6" fillId="3" borderId="7" pivotButton="0" quotePrefix="0" xfId="0"/>
    <xf numFmtId="164" fontId="3" fillId="0" borderId="7" pivotButton="0" quotePrefix="0" xfId="0"/>
    <xf numFmtId="164" fontId="5" fillId="8" borderId="7" pivotButton="0" quotePrefix="0" xfId="0"/>
    <xf numFmtId="165" fontId="6" fillId="0" borderId="7" pivotButton="0" quotePrefix="0" xfId="0"/>
    <xf numFmtId="0" fontId="4" fillId="4" borderId="7" applyAlignment="1" pivotButton="0" quotePrefix="0" xfId="0">
      <alignment horizontal="center"/>
    </xf>
    <xf numFmtId="165" fontId="4" fillId="4" borderId="7" applyAlignment="1" pivotButton="0" quotePrefix="0" xfId="0">
      <alignment horizontal="center"/>
    </xf>
    <xf numFmtId="165" fontId="5" fillId="0" borderId="7" applyAlignment="1" pivotButton="0" quotePrefix="0" xfId="0">
      <alignment horizontal="center"/>
    </xf>
    <xf numFmtId="165" fontId="5" fillId="3" borderId="7" applyAlignment="1" pivotButton="0" quotePrefix="0" xfId="0">
      <alignment horizontal="center"/>
    </xf>
    <xf numFmtId="165" fontId="6" fillId="0" borderId="7" applyAlignment="1" pivotButton="0" quotePrefix="0" xfId="0">
      <alignment horizontal="center"/>
    </xf>
    <xf numFmtId="164" fontId="6" fillId="0" borderId="7" pivotButton="0" quotePrefix="0" xfId="0"/>
    <xf numFmtId="167" fontId="4" fillId="4" borderId="7" applyAlignment="1" pivotButton="0" quotePrefix="0" xfId="0">
      <alignment horizontal="center"/>
    </xf>
    <xf numFmtId="0" fontId="9" fillId="0" borderId="7" pivotButton="0" quotePrefix="0" xfId="0"/>
    <xf numFmtId="0" fontId="9" fillId="3" borderId="7" pivotButton="0" quotePrefix="0" xfId="0"/>
    <xf numFmtId="0" fontId="37" fillId="18" borderId="0" applyAlignment="1" pivotButton="0" quotePrefix="0" xfId="0">
      <alignment horizontal="center" vertical="center"/>
    </xf>
    <xf numFmtId="0" fontId="40" fillId="18" borderId="0" applyAlignment="1" pivotButton="0" quotePrefix="0" xfId="0">
      <alignment horizontal="left" vertical="center"/>
    </xf>
    <xf numFmtId="0" fontId="43" fillId="18" borderId="0" applyAlignment="1" pivotButton="0" quotePrefix="0" xfId="0">
      <alignment horizontal="center" vertical="center"/>
    </xf>
    <xf numFmtId="0" fontId="19" fillId="18" borderId="0" applyAlignment="1" pivotButton="0" quotePrefix="0" xfId="0">
      <alignment horizontal="center" vertical="center"/>
    </xf>
    <xf numFmtId="0" fontId="20" fillId="18" borderId="0" applyAlignment="1" pivotButton="0" quotePrefix="0" xfId="0">
      <alignment horizontal="left" vertical="center"/>
    </xf>
    <xf numFmtId="0" fontId="0" fillId="18" borderId="0" pivotButton="0" quotePrefix="0" xfId="0"/>
    <xf numFmtId="0" fontId="21" fillId="18" borderId="0" applyAlignment="1" pivotButton="0" quotePrefix="0" xfId="0">
      <alignment horizontal="center" vertical="center"/>
    </xf>
    <xf numFmtId="0" fontId="46" fillId="0" borderId="1" pivotButton="0" quotePrefix="0" xfId="0"/>
    <xf numFmtId="0" fontId="46" fillId="3" borderId="1" pivotButton="0" quotePrefix="0" xfId="0"/>
    <xf numFmtId="3" fontId="46" fillId="3" borderId="1" applyAlignment="1" pivotButton="0" quotePrefix="0" xfId="0">
      <alignment horizontal="right"/>
    </xf>
    <xf numFmtId="3" fontId="46" fillId="3" borderId="1" applyAlignment="1" pivotButton="0" quotePrefix="0" xfId="0">
      <alignment horizontal="right" vertical="center"/>
    </xf>
    <xf numFmtId="0" fontId="46" fillId="3" borderId="1" applyAlignment="1" pivotButton="0" quotePrefix="0" xfId="0">
      <alignment horizontal="right" vertical="center"/>
    </xf>
    <xf numFmtId="3" fontId="46" fillId="0" borderId="1" applyAlignment="1" pivotButton="0" quotePrefix="0" xfId="0">
      <alignment horizontal="right"/>
    </xf>
    <xf numFmtId="3" fontId="46" fillId="0" borderId="1" applyAlignment="1" pivotButton="0" quotePrefix="0" xfId="0">
      <alignment horizontal="right" vertical="center"/>
    </xf>
    <xf numFmtId="0" fontId="46" fillId="0" borderId="1" applyAlignment="1" pivotButton="0" quotePrefix="0" xfId="0">
      <alignment horizontal="right" vertical="center"/>
    </xf>
    <xf numFmtId="3" fontId="5" fillId="18" borderId="1" applyAlignment="1" pivotButton="0" quotePrefix="0" xfId="0">
      <alignment horizontal="right"/>
    </xf>
    <xf numFmtId="3" fontId="5" fillId="18" borderId="1" applyAlignment="1" pivotButton="0" quotePrefix="0" xfId="0">
      <alignment horizontal="right" vertical="center"/>
    </xf>
    <xf numFmtId="0" fontId="5" fillId="18" borderId="1" applyAlignment="1" pivotButton="0" quotePrefix="0" xfId="0">
      <alignment horizontal="right" vertical="center"/>
    </xf>
    <xf numFmtId="3" fontId="46" fillId="18" borderId="1" applyAlignment="1" pivotButton="0" quotePrefix="0" xfId="0">
      <alignment horizontal="right"/>
    </xf>
    <xf numFmtId="3" fontId="46" fillId="18" borderId="1" applyAlignment="1" pivotButton="0" quotePrefix="0" xfId="0">
      <alignment horizontal="right" vertical="center"/>
    </xf>
    <xf numFmtId="0" fontId="46" fillId="18" borderId="1" applyAlignment="1" pivotButton="0" quotePrefix="0" xfId="0">
      <alignment horizontal="right" vertical="center"/>
    </xf>
    <xf numFmtId="164" fontId="46" fillId="0" borderId="1" applyAlignment="1" pivotButton="0" quotePrefix="0" xfId="0">
      <alignment horizontal="right"/>
    </xf>
    <xf numFmtId="164" fontId="46" fillId="0" borderId="1" applyAlignment="1" pivotButton="0" quotePrefix="0" xfId="0">
      <alignment horizontal="right" vertical="center"/>
    </xf>
    <xf numFmtId="166" fontId="46" fillId="3" borderId="1" applyAlignment="1" pivotButton="0" quotePrefix="0" xfId="0">
      <alignment horizontal="right"/>
    </xf>
    <xf numFmtId="166" fontId="46" fillId="3" borderId="1" applyAlignment="1" pivotButton="0" quotePrefix="0" xfId="0">
      <alignment horizontal="right" vertical="center"/>
    </xf>
    <xf numFmtId="0" fontId="46" fillId="0" borderId="8" applyAlignment="1" pivotButton="0" quotePrefix="0" xfId="0">
      <alignment horizontal="right" vertical="center"/>
    </xf>
    <xf numFmtId="165" fontId="46" fillId="8" borderId="7" pivotButton="0" quotePrefix="0" xfId="0"/>
    <xf numFmtId="166" fontId="46" fillId="8" borderId="7" pivotButton="0" quotePrefix="0" xfId="0"/>
    <xf numFmtId="165" fontId="46" fillId="10" borderId="7" pivotButton="0" quotePrefix="0" xfId="0"/>
    <xf numFmtId="165" fontId="6" fillId="18" borderId="7" pivotButton="0" quotePrefix="0" xfId="0"/>
    <xf numFmtId="165" fontId="46" fillId="7" borderId="7" pivotButton="0" quotePrefix="0" xfId="0"/>
    <xf numFmtId="165" fontId="46" fillId="3" borderId="7" pivotButton="0" quotePrefix="0" xfId="0"/>
    <xf numFmtId="165" fontId="46" fillId="0" borderId="7" pivotButton="0" quotePrefix="0" xfId="0"/>
    <xf numFmtId="167" fontId="46" fillId="10" borderId="7" pivotButton="0" quotePrefix="0" xfId="0"/>
    <xf numFmtId="167" fontId="46" fillId="0" borderId="7" pivotButton="0" quotePrefix="0" xfId="0"/>
    <xf numFmtId="0" fontId="2" fillId="18" borderId="7" pivotButton="0" quotePrefix="0" xfId="0"/>
    <xf numFmtId="3" fontId="6" fillId="18" borderId="7" pivotButton="0" quotePrefix="0" xfId="0"/>
    <xf numFmtId="3" fontId="5" fillId="18" borderId="7" pivotButton="0" quotePrefix="0" xfId="0"/>
    <xf numFmtId="0" fontId="2" fillId="18" borderId="0" pivotButton="0" quotePrefix="0" xfId="0"/>
    <xf numFmtId="165" fontId="5" fillId="18" borderId="7" pivotButton="0" quotePrefix="0" xfId="0"/>
    <xf numFmtId="167" fontId="5" fillId="18" borderId="7" pivotButton="0" quotePrefix="0" xfId="0"/>
    <xf numFmtId="165" fontId="2" fillId="18" borderId="7" pivotButton="0" quotePrefix="0" xfId="0"/>
    <xf numFmtId="168" fontId="5" fillId="18" borderId="7" pivotButton="0" quotePrefix="0" xfId="0"/>
    <xf numFmtId="3" fontId="46" fillId="18" borderId="7" pivotButton="0" quotePrefix="0" xfId="0"/>
    <xf numFmtId="166" fontId="5" fillId="18" borderId="7" pivotButton="0" quotePrefix="0" xfId="0"/>
    <xf numFmtId="164" fontId="3" fillId="18" borderId="7" pivotButton="0" quotePrefix="0" xfId="0"/>
    <xf numFmtId="167" fontId="46" fillId="3" borderId="7" pivotButton="0" quotePrefix="0" xfId="0"/>
    <xf numFmtId="0" fontId="4" fillId="18" borderId="1" applyAlignment="1" pivotButton="0" quotePrefix="0" xfId="0">
      <alignment horizontal="center" wrapText="1"/>
    </xf>
    <xf numFmtId="0" fontId="4" fillId="18" borderId="7" applyAlignment="1" pivotButton="0" quotePrefix="0" xfId="0">
      <alignment horizontal="center" wrapText="1"/>
    </xf>
    <xf numFmtId="164" fontId="5" fillId="18" borderId="7" pivotButton="0" quotePrefix="0" xfId="0"/>
    <xf numFmtId="165" fontId="46" fillId="18" borderId="7" pivotButton="0" quotePrefix="0" xfId="0"/>
    <xf numFmtId="0" fontId="7" fillId="18" borderId="7" pivotButton="0" quotePrefix="0" xfId="0"/>
    <xf numFmtId="164" fontId="6" fillId="18" borderId="7" pivotButton="0" quotePrefix="0" xfId="0"/>
    <xf numFmtId="0" fontId="46" fillId="0" borderId="7" pivotButton="0" quotePrefix="0" xfId="0"/>
    <xf numFmtId="0" fontId="46" fillId="3" borderId="7" pivotButton="0" quotePrefix="0" xfId="0"/>
    <xf numFmtId="0" fontId="46" fillId="16" borderId="7" applyAlignment="1" pivotButton="0" quotePrefix="0" xfId="0">
      <alignment horizontal="right" vertical="center"/>
    </xf>
    <xf numFmtId="0" fontId="46" fillId="0" borderId="7" applyAlignment="1" pivotButton="0" quotePrefix="0" xfId="0">
      <alignment horizontal="right" vertical="center"/>
    </xf>
    <xf numFmtId="166" fontId="46" fillId="0" borderId="7" applyAlignment="1" pivotButton="0" quotePrefix="0" xfId="0">
      <alignment horizontal="right" vertical="center"/>
    </xf>
    <xf numFmtId="169" fontId="46" fillId="16" borderId="7" applyAlignment="1" pivotButton="0" quotePrefix="0" xfId="0">
      <alignment horizontal="right" vertical="center"/>
    </xf>
    <xf numFmtId="169" fontId="46" fillId="0" borderId="7" applyAlignment="1" pivotButton="0" quotePrefix="0" xfId="0">
      <alignment horizontal="right" vertical="center"/>
    </xf>
    <xf numFmtId="2" fontId="46" fillId="16" borderId="7" applyAlignment="1" pivotButton="0" quotePrefix="0" xfId="0">
      <alignment horizontal="right" vertical="center"/>
    </xf>
    <xf numFmtId="2" fontId="46" fillId="0" borderId="7" applyAlignment="1" pivotButton="0" quotePrefix="0" xfId="0">
      <alignment horizontal="right" vertical="center"/>
    </xf>
    <xf numFmtId="3" fontId="2" fillId="3" borderId="0" pivotButton="0" quotePrefix="0" xfId="0"/>
    <xf numFmtId="3" fontId="2" fillId="3" borderId="0" applyAlignment="1" pivotButton="0" quotePrefix="0" xfId="0">
      <alignment horizontal="right" vertical="center"/>
    </xf>
    <xf numFmtId="0" fontId="47" fillId="15" borderId="0" applyAlignment="1" pivotButton="0" quotePrefix="0" xfId="0">
      <alignment horizontal="left" vertical="center"/>
    </xf>
    <xf numFmtId="0" fontId="27" fillId="0" borderId="8" pivotButton="0" quotePrefix="0" xfId="0"/>
    <xf numFmtId="2" fontId="42" fillId="8" borderId="0" applyAlignment="1" pivotButton="0" quotePrefix="0" xfId="0">
      <alignment horizontal="center" vertical="center"/>
    </xf>
    <xf numFmtId="0" fontId="48" fillId="0" borderId="0" pivotButton="0" quotePrefix="0" xfId="0"/>
    <xf numFmtId="0" fontId="49" fillId="19" borderId="0" pivotButton="0" quotePrefix="0" xfId="0"/>
    <xf numFmtId="0" fontId="0" fillId="19" borderId="0" pivotButton="0" quotePrefix="0" xfId="0"/>
    <xf numFmtId="0" fontId="10" fillId="6" borderId="0" applyAlignment="1" pivotButton="0" quotePrefix="0" xfId="0">
      <alignment horizontal="left" vertical="center"/>
    </xf>
    <xf numFmtId="0" fontId="0" fillId="6" borderId="8" pivotButton="0" quotePrefix="0" xfId="0"/>
    <xf numFmtId="0" fontId="22" fillId="11" borderId="7" applyAlignment="1" pivotButton="0" quotePrefix="0" xfId="0">
      <alignment horizontal="left" vertical="center"/>
    </xf>
    <xf numFmtId="0" fontId="22" fillId="11" borderId="7" applyAlignment="1" pivotButton="0" quotePrefix="0" xfId="0">
      <alignment horizontal="center" vertical="center"/>
    </xf>
    <xf numFmtId="0" fontId="16" fillId="12" borderId="7" applyAlignment="1" pivotButton="0" quotePrefix="0" xfId="0">
      <alignment horizontal="left" vertical="center"/>
    </xf>
    <xf numFmtId="0" fontId="16" fillId="12" borderId="7" applyAlignment="1" pivotButton="0" quotePrefix="0" xfId="0">
      <alignment horizontal="center" vertical="center"/>
    </xf>
    <xf numFmtId="0" fontId="17" fillId="13" borderId="7" applyAlignment="1" pivotButton="0" quotePrefix="0" xfId="0">
      <alignment horizontal="left" vertical="center"/>
    </xf>
    <xf numFmtId="0" fontId="18" fillId="13" borderId="7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8" applyAlignment="1" pivotButton="0" quotePrefix="0" xfId="0">
      <alignment horizontal="left" vertical="center"/>
    </xf>
    <xf numFmtId="0" fontId="18" fillId="6" borderId="8" applyAlignment="1" pivotButton="0" quotePrefix="0" xfId="0">
      <alignment horizontal="center" vertical="center"/>
    </xf>
    <xf numFmtId="0" fontId="18" fillId="6" borderId="8" pivotButton="0" quotePrefix="0" xfId="0"/>
    <xf numFmtId="0" fontId="17" fillId="14" borderId="7" applyAlignment="1" pivotButton="0" quotePrefix="0" xfId="0">
      <alignment horizontal="left" vertical="center"/>
    </xf>
    <xf numFmtId="166" fontId="23" fillId="14" borderId="7" applyAlignment="1" pivotButton="0" quotePrefix="0" xfId="0">
      <alignment horizontal="center" vertical="center"/>
    </xf>
    <xf numFmtId="169" fontId="23" fillId="14" borderId="7" applyAlignment="1" pivotButton="0" quotePrefix="0" xfId="0">
      <alignment horizontal="center" vertical="center"/>
    </xf>
    <xf numFmtId="2" fontId="23" fillId="14" borderId="7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7" fillId="14" borderId="0" applyAlignment="1" pivotButton="0" quotePrefix="0" xfId="0">
      <alignment horizontal="left" vertical="center"/>
    </xf>
    <xf numFmtId="49" fontId="24" fillId="14" borderId="0" applyAlignment="1" pivotButton="0" quotePrefix="0" xfId="0">
      <alignment horizontal="center" vertical="center"/>
    </xf>
    <xf numFmtId="169" fontId="42" fillId="8" borderId="0" applyAlignment="1" pivotButton="0" quotePrefix="0" xfId="0">
      <alignment horizontal="center" vertical="center"/>
    </xf>
    <xf numFmtId="0" fontId="46" fillId="20" borderId="1" applyAlignment="1" pivotButton="0" quotePrefix="0" xfId="0">
      <alignment horizontal="right" vertical="center"/>
    </xf>
    <xf numFmtId="0" fontId="5" fillId="20" borderId="1" applyAlignment="1" pivotButton="0" quotePrefix="0" xfId="0">
      <alignment horizontal="right" vertical="center"/>
    </xf>
    <xf numFmtId="0" fontId="0" fillId="20" borderId="0" pivotButton="0" quotePrefix="0" xfId="0"/>
    <xf numFmtId="3" fontId="2" fillId="20" borderId="0" applyAlignment="1" pivotButton="0" quotePrefix="0" xfId="0">
      <alignment horizontal="right" vertical="center"/>
    </xf>
    <xf numFmtId="0" fontId="2" fillId="20" borderId="0" applyAlignment="1" pivotButton="0" quotePrefix="0" xfId="0">
      <alignment horizontal="right" vertical="center"/>
    </xf>
    <xf numFmtId="0" fontId="0" fillId="20" borderId="0" applyAlignment="1" pivotButton="0" quotePrefix="0" xfId="0">
      <alignment horizontal="right" vertical="center"/>
    </xf>
    <xf numFmtId="0" fontId="31" fillId="20" borderId="8" pivotButton="0" quotePrefix="0" xfId="0"/>
    <xf numFmtId="0" fontId="0" fillId="20" borderId="8" pivotButton="0" quotePrefix="0" xfId="0"/>
    <xf numFmtId="0" fontId="31" fillId="20" borderId="7" applyAlignment="1" pivotButton="0" quotePrefix="0" xfId="0">
      <alignment horizontal="right" vertical="center"/>
    </xf>
    <xf numFmtId="0" fontId="10" fillId="6" borderId="0" applyAlignment="1" pivotButton="0" quotePrefix="0" xfId="0">
      <alignment horizontal="left" vertical="center"/>
    </xf>
    <xf numFmtId="0" fontId="22" fillId="11" borderId="7" applyAlignment="1" pivotButton="0" quotePrefix="0" xfId="0">
      <alignment horizontal="left" vertical="center"/>
    </xf>
    <xf numFmtId="0" fontId="22" fillId="11" borderId="7" applyAlignment="1" pivotButton="0" quotePrefix="0" xfId="0">
      <alignment horizontal="center" vertical="center"/>
    </xf>
    <xf numFmtId="0" fontId="16" fillId="12" borderId="7" applyAlignment="1" pivotButton="0" quotePrefix="0" xfId="0">
      <alignment horizontal="left" vertical="center"/>
    </xf>
    <xf numFmtId="0" fontId="16" fillId="12" borderId="7" applyAlignment="1" pivotButton="0" quotePrefix="0" xfId="0">
      <alignment horizontal="center" vertical="center"/>
    </xf>
    <xf numFmtId="0" fontId="17" fillId="13" borderId="7" applyAlignment="1" pivotButton="0" quotePrefix="0" xfId="0">
      <alignment horizontal="left" vertical="center"/>
    </xf>
    <xf numFmtId="0" fontId="18" fillId="13" borderId="7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8" applyAlignment="1" pivotButton="0" quotePrefix="0" xfId="0">
      <alignment horizontal="left" vertical="center"/>
    </xf>
    <xf numFmtId="0" fontId="18" fillId="6" borderId="8" applyAlignment="1" pivotButton="0" quotePrefix="0" xfId="0">
      <alignment horizontal="center" vertical="center"/>
    </xf>
    <xf numFmtId="0" fontId="17" fillId="14" borderId="7" applyAlignment="1" pivotButton="0" quotePrefix="0" xfId="0">
      <alignment horizontal="left" vertical="center"/>
    </xf>
    <xf numFmtId="166" fontId="23" fillId="14" borderId="7" applyAlignment="1" pivotButton="0" quotePrefix="0" xfId="0">
      <alignment horizontal="center" vertical="center"/>
    </xf>
    <xf numFmtId="169" fontId="23" fillId="14" borderId="7" applyAlignment="1" pivotButton="0" quotePrefix="0" xfId="0">
      <alignment horizontal="center" vertical="center"/>
    </xf>
    <xf numFmtId="2" fontId="23" fillId="14" borderId="7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7" fillId="14" borderId="0" applyAlignment="1" pivotButton="0" quotePrefix="0" xfId="0">
      <alignment horizontal="left" vertical="center"/>
    </xf>
    <xf numFmtId="49" fontId="24" fillId="14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/>
    </xf>
    <xf numFmtId="0" fontId="22" fillId="11" borderId="7" applyAlignment="1" pivotButton="0" quotePrefix="0" xfId="0">
      <alignment horizontal="left" vertical="center"/>
    </xf>
    <xf numFmtId="0" fontId="22" fillId="11" borderId="7" applyAlignment="1" pivotButton="0" quotePrefix="0" xfId="0">
      <alignment horizontal="center" vertical="center"/>
    </xf>
    <xf numFmtId="0" fontId="16" fillId="12" borderId="7" applyAlignment="1" pivotButton="0" quotePrefix="0" xfId="0">
      <alignment horizontal="left" vertical="center"/>
    </xf>
    <xf numFmtId="0" fontId="16" fillId="12" borderId="7" applyAlignment="1" pivotButton="0" quotePrefix="0" xfId="0">
      <alignment horizontal="center" vertical="center"/>
    </xf>
    <xf numFmtId="0" fontId="17" fillId="13" borderId="7" applyAlignment="1" pivotButton="0" quotePrefix="0" xfId="0">
      <alignment horizontal="left" vertical="center"/>
    </xf>
    <xf numFmtId="0" fontId="18" fillId="13" borderId="7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8" applyAlignment="1" pivotButton="0" quotePrefix="0" xfId="0">
      <alignment horizontal="left" vertical="center"/>
    </xf>
    <xf numFmtId="0" fontId="18" fillId="6" borderId="8" applyAlignment="1" pivotButton="0" quotePrefix="0" xfId="0">
      <alignment horizontal="center" vertical="center"/>
    </xf>
    <xf numFmtId="0" fontId="17" fillId="14" borderId="7" applyAlignment="1" pivotButton="0" quotePrefix="0" xfId="0">
      <alignment horizontal="left" vertical="center"/>
    </xf>
    <xf numFmtId="166" fontId="23" fillId="14" borderId="7" applyAlignment="1" pivotButton="0" quotePrefix="0" xfId="0">
      <alignment horizontal="center" vertical="center"/>
    </xf>
    <xf numFmtId="169" fontId="23" fillId="14" borderId="7" applyAlignment="1" pivotButton="0" quotePrefix="0" xfId="0">
      <alignment horizontal="center" vertical="center"/>
    </xf>
    <xf numFmtId="2" fontId="23" fillId="14" borderId="7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7" fillId="14" borderId="0" applyAlignment="1" pivotButton="0" quotePrefix="0" xfId="0">
      <alignment horizontal="left" vertical="center"/>
    </xf>
    <xf numFmtId="49" fontId="24" fillId="14" borderId="0" applyAlignment="1" pivotButton="0" quotePrefix="0" xfId="0">
      <alignment horizontal="center" vertical="center"/>
    </xf>
    <xf numFmtId="0" fontId="39" fillId="12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6B000C"/>
      <rgbColor rgb="FF1B7A2B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8E1"/>
      <rgbColor rgb="FFF5F5F5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990013"/>
      <rgbColor rgb="FF008080"/>
      <rgbColor rgb="FF0000FF"/>
      <rgbColor rgb="FF00CCFF"/>
      <rgbColor rgb="FFF9F9F9"/>
      <rgbColor rgb="FFCCFFCC"/>
      <rgbColor rgb="FFFFFF99"/>
      <rgbColor rgb="FF99CCFF"/>
      <rgbColor rgb="FFFF99CC"/>
      <rgbColor rgb="FFCC99FF"/>
      <rgbColor rgb="FFF2E4B7"/>
      <rgbColor rgb="FF3366FF"/>
      <rgbColor rgb="FF33CCCC"/>
      <rgbColor rgb="FF99CC00"/>
      <rgbColor rgb="FFFFCC00"/>
      <rgbColor rgb="FFD4A017"/>
      <rgbColor rgb="FFE67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Relationship Type="http://schemas.openxmlformats.org/officeDocument/2006/relationships/image" Target="/xl/media/image4.png" Id="rId4"/><Relationship Type="http://schemas.openxmlformats.org/officeDocument/2006/relationships/image" Target="/xl/media/image5.png" Id="rId5"/><Relationship Type="http://schemas.openxmlformats.org/officeDocument/2006/relationships/image" Target="/xl/media/image6.png" Id="rId6"/><Relationship Type="http://schemas.openxmlformats.org/officeDocument/2006/relationships/image" Target="/xl/media/image7.png" Id="rId7"/><Relationship Type="http://schemas.openxmlformats.org/officeDocument/2006/relationships/image" Target="/xl/media/image8.png" Id="rId8"/><Relationship Type="http://schemas.openxmlformats.org/officeDocument/2006/relationships/image" Target="/xl/media/image9.png" Id="rId9"/><Relationship Type="http://schemas.openxmlformats.org/officeDocument/2006/relationships/image" Target="/xl/media/image10.png" Id="rId10"/><Relationship Type="http://schemas.openxmlformats.org/officeDocument/2006/relationships/image" Target="/xl/media/image11.png" Id="rId11"/><Relationship Type="http://schemas.openxmlformats.org/officeDocument/2006/relationships/image" Target="/xl/media/image12.png" Id="rId12"/><Relationship Type="http://schemas.openxmlformats.org/officeDocument/2006/relationships/image" Target="/xl/media/image13.png" Id="rId13"/><Relationship Type="http://schemas.openxmlformats.org/officeDocument/2006/relationships/image" Target="/xl/media/image14.png" Id="rId14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4</col>
      <colOff>346320</colOff>
      <row>0</row>
      <rowOff>692640</rowOff>
    </to>
    <pic>
      <nvPicPr>
        <cNvPr id="18" name="Image 17" descr="Picture"/>
        <cNvPicPr/>
      </nvPicPr>
      <blipFill>
        <a:blip xmlns:a="http://schemas.openxmlformats.org/drawingml/2006/main" xmlns:r="http://schemas.openxmlformats.org/officeDocument/2006/relationships" r:embed="rId14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  <oneCellAnchor>
    <from>
      <col>0</col>
      <colOff>0</colOff>
      <row>14</row>
      <rowOff>0</rowOff>
    </from>
    <ext cx="4476750" cy="24860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14</row>
      <rowOff>0</rowOff>
    </from>
    <ext cx="4476750" cy="24860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36</row>
      <rowOff>0</rowOff>
    </from>
    <ext cx="4476750" cy="22574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36</row>
      <rowOff>0</rowOff>
    </from>
    <ext cx="4476750" cy="24860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55</row>
      <rowOff>0</rowOff>
    </from>
    <ext cx="4476750" cy="22574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55</row>
      <rowOff>0</rowOff>
    </from>
    <ext cx="4476750" cy="22574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74</row>
      <rowOff>0</rowOff>
    </from>
    <ext cx="4476750" cy="22574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74</row>
      <rowOff>0</rowOff>
    </from>
    <ext cx="4476750" cy="22574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96</row>
      <rowOff>0</rowOff>
    </from>
    <ext cx="4476750" cy="2495550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96</row>
      <rowOff>0</rowOff>
    </from>
    <ext cx="4476750" cy="2152650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115</row>
      <rowOff>0</rowOff>
    </from>
    <ext cx="4476750" cy="24860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115</row>
      <rowOff>0</rowOff>
    </from>
    <ext cx="4476750" cy="24860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137</row>
      <rowOff>0</rowOff>
    </from>
    <ext cx="4476750" cy="22574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F2E4B7"/>
    <outlinePr summaryBelow="1" summaryRight="1"/>
    <pageSetUpPr/>
  </sheetPr>
  <dimension ref="A1:R137"/>
  <sheetViews>
    <sheetView showGridLines="0" zoomScale="100" zoomScaleNormal="100" workbookViewId="0">
      <pane ySplit="1" topLeftCell="A2" activePane="bottomLeft" state="frozen"/>
    </sheetView>
  </sheetViews>
  <sheetFormatPr baseColWidth="10" defaultColWidth="8.6640625" defaultRowHeight="15"/>
  <cols>
    <col width="2" customWidth="1" style="74" min="1" max="1"/>
  </cols>
  <sheetData>
    <row r="1" ht="54.75" customHeight="1" s="74">
      <c r="A1" s="1"/>
    </row>
    <row r="2" ht="15" customHeight="1" s="74">
      <c r="A2" s="2"/>
    </row>
    <row r="3" ht="15" customHeight="1" s="74">
      <c r="A3" s="2"/>
    </row>
    <row r="4" ht="15" customHeight="1" s="74">
      <c r="A4" s="2"/>
    </row>
    <row r="5" ht="15" customHeight="1" s="74">
      <c r="A5" s="3"/>
    </row>
    <row r="6" ht="15" customHeight="1" s="74">
      <c r="A6" s="2"/>
    </row>
    <row r="7" ht="15" customHeight="1" s="74">
      <c r="A7" s="2"/>
    </row>
    <row r="8" ht="15" customHeight="1" s="74">
      <c r="A8" s="2"/>
    </row>
    <row r="9"/>
    <row r="10"/>
    <row r="11">
      <c r="A11" s="437" t="inlineStr">
        <is>
          <t>CRM — Visual Summary</t>
        </is>
      </c>
    </row>
    <row r="12">
      <c r="A12" s="207"/>
      <c r="J12" s="207"/>
    </row>
    <row r="13">
      <c r="A13" s="438" t="inlineStr">
        <is>
          <t>Business, Returns &amp; Capital Allocation</t>
        </is>
      </c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</row>
    <row r="14">
      <c r="A14" s="207" t="inlineStr">
        <is>
          <t>ROIC vs. Estimated WACC</t>
        </is>
      </c>
      <c r="J14" s="207" t="inlineStr">
        <is>
          <t>Capital Returns &amp; Diluted Shares</t>
        </is>
      </c>
    </row>
    <row r="15"/>
    <row r="16"/>
    <row r="17"/>
    <row r="18"/>
    <row r="19"/>
    <row r="20"/>
    <row r="21"/>
    <row r="22"/>
    <row r="23"/>
    <row r="24"/>
    <row r="25"/>
    <row r="26"/>
    <row r="27"/>
    <row r="28">
      <c r="A28" s="207"/>
      <c r="J28" s="207"/>
    </row>
    <row r="29"/>
    <row r="30"/>
    <row r="31"/>
    <row r="32"/>
    <row r="33"/>
    <row r="34"/>
    <row r="35">
      <c r="A35" s="438" t="inlineStr">
        <is>
          <t>Financial Performance (10-Year)</t>
        </is>
      </c>
      <c r="B35" s="439"/>
      <c r="C35" s="439"/>
      <c r="D35" s="439"/>
      <c r="E35" s="439"/>
      <c r="F35" s="439"/>
      <c r="G35" s="439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</row>
    <row r="36">
      <c r="A36" s="207" t="inlineStr">
        <is>
          <t>Revenue &amp; Operating Income</t>
        </is>
      </c>
      <c r="J36" s="207" t="inlineStr">
        <is>
          <t>Operating Margin Trend</t>
        </is>
      </c>
    </row>
    <row r="37"/>
    <row r="38"/>
    <row r="39"/>
    <row r="40"/>
    <row r="41"/>
    <row r="42"/>
    <row r="43"/>
    <row r="44">
      <c r="A44" s="207"/>
      <c r="J44" s="207"/>
    </row>
    <row r="45"/>
    <row r="46"/>
    <row r="47"/>
    <row r="48"/>
    <row r="49"/>
    <row r="50"/>
    <row r="51"/>
    <row r="52"/>
    <row r="53"/>
    <row r="54"/>
    <row r="55">
      <c r="A55" s="207" t="inlineStr">
        <is>
          <t>GAAP EPS</t>
        </is>
      </c>
      <c r="J55" s="207" t="inlineStr">
        <is>
          <t>Free Cash Flow vs. Net Income</t>
        </is>
      </c>
    </row>
    <row r="56"/>
    <row r="57"/>
    <row r="58"/>
    <row r="59"/>
    <row r="60">
      <c r="A60" s="207"/>
      <c r="J60" s="207"/>
    </row>
    <row r="61"/>
    <row r="62"/>
    <row r="63"/>
    <row r="64"/>
    <row r="65"/>
    <row r="66"/>
    <row r="67"/>
    <row r="68"/>
    <row r="69"/>
    <row r="70"/>
    <row r="71"/>
    <row r="72"/>
    <row r="73"/>
    <row r="74">
      <c r="A74" s="207" t="inlineStr">
        <is>
          <t>Capital Returns vs. FCF</t>
        </is>
      </c>
      <c r="J74" s="207" t="inlineStr">
        <is>
          <t>Debt &amp; Leverage Trajectory</t>
        </is>
      </c>
    </row>
    <row r="75"/>
    <row r="76">
      <c r="A76" s="207"/>
      <c r="J76" s="207"/>
    </row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>
      <c r="A95" s="438" t="inlineStr">
        <is>
          <t>Valuation</t>
        </is>
      </c>
      <c r="B95" s="439"/>
      <c r="C95" s="439"/>
      <c r="D95" s="439"/>
      <c r="E95" s="439"/>
      <c r="F95" s="439"/>
      <c r="G95" s="439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</row>
    <row r="96">
      <c r="A96" s="207" t="inlineStr">
        <is>
          <t>Valuation Range by Method</t>
        </is>
      </c>
      <c r="J96" s="207" t="inlineStr">
        <is>
          <t>Valuation vs. Peers</t>
        </is>
      </c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>
      <c r="A115" s="207" t="inlineStr">
        <is>
          <t>Historical EV/EBITDA vs. Average</t>
        </is>
      </c>
      <c r="J115" s="207" t="inlineStr">
        <is>
          <t>DCF Sensitivity (WACC × Terminal Growth)</t>
        </is>
      </c>
    </row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>
      <c r="A136" s="438" t="inlineStr">
        <is>
          <t>Quarterly Trend</t>
        </is>
      </c>
      <c r="B136" s="439"/>
      <c r="C136" s="439"/>
      <c r="D136" s="439"/>
      <c r="E136" s="439"/>
      <c r="F136" s="439"/>
      <c r="G136" s="439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</row>
    <row r="137">
      <c r="A137" s="207" t="inlineStr">
        <is>
          <t>Quarterly Revenue &amp; Net Margin</t>
        </is>
      </c>
    </row>
  </sheetData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50"/>
  <sheetViews>
    <sheetView showGridLines="1" zoomScale="100" workbookViewId="0">
      <pane xSplit="1" topLeftCell="B1" activePane="topRight" state="frozen"/>
    </sheetView>
  </sheetViews>
  <sheetFormatPr baseColWidth="8" defaultRowHeight="15"/>
  <cols>
    <col width="30" customWidth="1" style="74" min="1" max="1"/>
    <col width="14" customWidth="1" style="74" min="2" max="2"/>
    <col width="12" customWidth="1" style="74" min="3" max="3"/>
    <col width="30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6" customWidth="1" style="74" min="13" max="13"/>
  </cols>
  <sheetData>
    <row r="1" ht="32" customHeight="1" s="74">
      <c r="A1" s="290" t="inlineStr">
        <is>
          <t>Market Data</t>
        </is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ht="17" customHeight="1" s="74">
      <c r="A2" s="291" t="inlineStr">
        <is>
          <t>Colour key:</t>
        </is>
      </c>
      <c r="B2" s="292" t="inlineStr">
        <is>
          <t>Company filing</t>
        </is>
      </c>
      <c r="C2" s="95"/>
      <c r="D2" s="293" t="inlineStr">
        <is>
          <t>Online / market</t>
        </is>
      </c>
      <c r="E2" s="95"/>
      <c r="F2" s="370" t="inlineStr">
        <is>
          <t>Computed</t>
        </is>
      </c>
      <c r="G2" s="95"/>
      <c r="H2" s="295" t="inlineStr">
        <is>
          <t>Analyst input</t>
        </is>
      </c>
      <c r="I2" s="95"/>
      <c r="J2" s="95"/>
      <c r="K2" s="95"/>
      <c r="L2" s="95"/>
      <c r="M2" s="95"/>
    </row>
    <row r="3" ht="8" customHeight="1" s="74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ht="22" customHeight="1" s="74">
      <c r="A4" s="296" t="inlineStr">
        <is>
          <t>A — CURRENT MARKET METRICS</t>
        </is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</row>
    <row r="5" ht="18" customHeight="1" s="74">
      <c r="A5" s="297" t="inlineStr">
        <is>
          <t>Analysis Date</t>
        </is>
      </c>
      <c r="B5" s="137"/>
      <c r="C5" s="138"/>
      <c r="D5" s="298" t="inlineStr">
        <is>
          <t>Enter today's date — carried into the report header</t>
        </is>
      </c>
      <c r="E5" s="106"/>
      <c r="F5" s="106"/>
      <c r="G5" s="106"/>
      <c r="H5" s="106"/>
      <c r="I5" s="106"/>
      <c r="J5" s="106"/>
      <c r="K5" s="106"/>
      <c r="L5" s="106"/>
      <c r="M5" s="106"/>
    </row>
    <row r="6" ht="18" customHeight="1" s="74">
      <c r="A6" s="297" t="inlineStr">
        <is>
          <t>Data Source</t>
        </is>
      </c>
      <c r="B6" s="137"/>
      <c r="C6" s="138"/>
      <c r="D6" s="298" t="inlineStr">
        <is>
          <t>e.g. "Yahoo Finance"  |  "Bloomberg"  |  "Broker platform"</t>
        </is>
      </c>
      <c r="E6" s="106"/>
      <c r="F6" s="106"/>
      <c r="G6" s="106"/>
      <c r="H6" s="106"/>
      <c r="I6" s="106"/>
      <c r="J6" s="106"/>
      <c r="K6" s="106"/>
      <c r="L6" s="106"/>
      <c r="M6" s="106"/>
    </row>
    <row r="7" ht="8" customHeight="1" s="7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ht="18" customHeight="1" s="74">
      <c r="A8" s="297" t="inlineStr">
        <is>
          <t>Current Stock Price</t>
        </is>
      </c>
      <c r="B8" s="299" t="n">
        <v>150.14</v>
      </c>
      <c r="C8" s="138"/>
      <c r="D8" s="139"/>
      <c r="E8" s="106"/>
      <c r="F8" s="106"/>
      <c r="G8" s="106"/>
      <c r="H8" s="106"/>
      <c r="I8" s="106"/>
      <c r="J8" s="106"/>
      <c r="K8" s="106"/>
      <c r="L8" s="106"/>
      <c r="M8" s="106"/>
    </row>
    <row r="9" ht="18" customHeight="1" s="74">
      <c r="A9" s="297" t="inlineStr">
        <is>
          <t>52-Week High</t>
        </is>
      </c>
      <c r="B9" s="137"/>
      <c r="C9" s="138"/>
      <c r="D9" s="139"/>
      <c r="E9" s="106"/>
      <c r="F9" s="106"/>
      <c r="G9" s="106"/>
      <c r="H9" s="106"/>
      <c r="I9" s="106"/>
      <c r="J9" s="106"/>
      <c r="K9" s="106"/>
      <c r="L9" s="106"/>
      <c r="M9" s="106"/>
    </row>
    <row r="10" ht="18" customHeight="1" s="74">
      <c r="A10" s="297" t="inlineStr">
        <is>
          <t>52-Week Low</t>
        </is>
      </c>
      <c r="B10" s="137"/>
      <c r="C10" s="138"/>
      <c r="D10" s="139"/>
      <c r="E10" s="106"/>
      <c r="F10" s="106"/>
      <c r="G10" s="106"/>
      <c r="H10" s="106"/>
      <c r="I10" s="106"/>
      <c r="J10" s="106"/>
      <c r="K10" s="106"/>
      <c r="L10" s="106"/>
      <c r="M10" s="106"/>
    </row>
    <row r="11" ht="18" customHeight="1" s="74">
      <c r="A11" s="300" t="inlineStr">
        <is>
          <t>Shares Outstanding</t>
        </is>
      </c>
      <c r="B11" s="301" t="n">
        <v>819</v>
      </c>
      <c r="C11" s="142"/>
      <c r="D11" s="143"/>
      <c r="E11" s="111"/>
      <c r="F11" s="111"/>
      <c r="G11" s="111"/>
      <c r="H11" s="111"/>
      <c r="I11" s="111"/>
      <c r="J11" s="111"/>
      <c r="K11" s="111"/>
      <c r="L11" s="111"/>
      <c r="M11" s="111"/>
    </row>
    <row r="12" ht="8" customHeight="1" s="74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ht="18" customHeight="1" s="74">
      <c r="A13" s="371" t="inlineStr">
        <is>
          <t>Market Capitalization</t>
        </is>
      </c>
      <c r="B13" s="372" t="n">
        <v>122964.66</v>
      </c>
      <c r="C13" s="373"/>
      <c r="D13" s="374"/>
      <c r="E13" s="375"/>
      <c r="F13" s="375"/>
      <c r="G13" s="375"/>
      <c r="H13" s="375"/>
      <c r="I13" s="375"/>
      <c r="J13" s="375"/>
      <c r="K13" s="375"/>
      <c r="L13" s="375"/>
      <c r="M13" s="375"/>
    </row>
    <row r="14" ht="18" customHeight="1" s="74">
      <c r="A14" s="300" t="inlineStr">
        <is>
          <t>Net Debt</t>
        </is>
      </c>
      <c r="B14" s="301" t="n">
        <v>4874</v>
      </c>
      <c r="C14" s="142"/>
      <c r="D14" s="143"/>
      <c r="E14" s="111"/>
      <c r="F14" s="111"/>
      <c r="G14" s="111"/>
      <c r="H14" s="111"/>
      <c r="I14" s="111"/>
      <c r="J14" s="111"/>
      <c r="K14" s="111"/>
      <c r="L14" s="111"/>
      <c r="M14" s="111"/>
    </row>
    <row r="15" ht="18" customHeight="1" s="74">
      <c r="A15" s="371" t="inlineStr">
        <is>
          <t>Enterprise Value</t>
        </is>
      </c>
      <c r="B15" s="372" t="n">
        <v>127838.66</v>
      </c>
      <c r="C15" s="373"/>
      <c r="D15" s="374"/>
      <c r="E15" s="375"/>
      <c r="F15" s="375"/>
      <c r="G15" s="375"/>
      <c r="H15" s="375"/>
      <c r="I15" s="375"/>
      <c r="J15" s="375"/>
      <c r="K15" s="375"/>
      <c r="L15" s="375"/>
      <c r="M15" s="375"/>
    </row>
    <row r="16" ht="8" customHeight="1" s="74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</row>
    <row r="17" ht="18" customHeight="1" s="74">
      <c r="A17" s="371" t="inlineStr">
        <is>
          <t>EV / LTM EBITDA</t>
        </is>
      </c>
      <c r="B17" s="372" t="n">
        <v>10.68706403611436</v>
      </c>
      <c r="C17" s="373"/>
      <c r="D17" s="374"/>
      <c r="E17" s="375"/>
      <c r="F17" s="375"/>
      <c r="G17" s="375"/>
      <c r="H17" s="375"/>
      <c r="I17" s="375"/>
      <c r="J17" s="375"/>
      <c r="K17" s="375"/>
      <c r="L17" s="375"/>
      <c r="M17" s="375"/>
    </row>
    <row r="18" ht="18" customHeight="1" s="74">
      <c r="A18" s="371" t="inlineStr">
        <is>
          <t>P / LTM EPS (P/E)</t>
        </is>
      </c>
      <c r="B18" s="372" t="n">
        <v>19.24871794871795</v>
      </c>
      <c r="C18" s="373"/>
      <c r="D18" s="374"/>
      <c r="E18" s="375"/>
      <c r="F18" s="375"/>
      <c r="G18" s="375"/>
      <c r="H18" s="375"/>
      <c r="I18" s="375"/>
      <c r="J18" s="375"/>
      <c r="K18" s="375"/>
      <c r="L18" s="375"/>
      <c r="M18" s="375"/>
    </row>
    <row r="19" ht="18" customHeight="1" s="74">
      <c r="A19" s="371" t="inlineStr">
        <is>
          <t>LTM FCF per Share</t>
        </is>
      </c>
      <c r="B19" s="372" t="n">
        <v>15.06485355648535</v>
      </c>
      <c r="C19" s="373"/>
      <c r="D19" s="374"/>
      <c r="E19" s="375"/>
      <c r="F19" s="375"/>
      <c r="G19" s="375"/>
      <c r="H19" s="375"/>
      <c r="I19" s="375"/>
      <c r="J19" s="375"/>
      <c r="K19" s="375"/>
      <c r="L19" s="375"/>
      <c r="M19" s="375"/>
    </row>
    <row r="20" ht="18" customHeight="1" s="74">
      <c r="A20" s="371" t="inlineStr">
        <is>
          <t>FCF Yield</t>
        </is>
      </c>
      <c r="B20" s="372" t="n">
        <v>0.1003387075828251</v>
      </c>
      <c r="C20" s="373"/>
      <c r="D20" s="374"/>
      <c r="E20" s="375"/>
      <c r="F20" s="375"/>
      <c r="G20" s="375"/>
      <c r="H20" s="375"/>
      <c r="I20" s="375"/>
      <c r="J20" s="375"/>
      <c r="K20" s="375"/>
      <c r="L20" s="375"/>
      <c r="M20" s="375"/>
    </row>
    <row r="21" ht="18" customHeight="1" s="74">
      <c r="A21" s="371" t="inlineStr">
        <is>
          <t>Dividend Yield</t>
        </is>
      </c>
      <c r="B21" s="372" t="n">
        <v>0.01079884715687952</v>
      </c>
      <c r="C21" s="373"/>
      <c r="D21" s="374"/>
      <c r="E21" s="375"/>
      <c r="F21" s="375"/>
      <c r="G21" s="375"/>
      <c r="H21" s="375"/>
      <c r="I21" s="375"/>
      <c r="J21" s="375"/>
      <c r="K21" s="375"/>
      <c r="L21" s="375"/>
      <c r="M21" s="375"/>
    </row>
    <row r="22" ht="8" customHeight="1" s="74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</row>
    <row r="23" ht="22" customHeight="1" s="74">
      <c r="A23" s="296" t="inlineStr">
        <is>
          <t>B — COST OF CAPITAL (WACC INPUTS)</t>
        </is>
      </c>
      <c r="B23" s="497"/>
      <c r="C23" s="497"/>
      <c r="D23" s="497"/>
      <c r="E23" s="497"/>
      <c r="F23" s="497"/>
      <c r="G23" s="497"/>
      <c r="H23" s="497"/>
      <c r="I23" s="497"/>
      <c r="J23" s="497"/>
      <c r="K23" s="497"/>
      <c r="L23" s="497"/>
      <c r="M23" s="497"/>
    </row>
    <row r="24" ht="18" customHeight="1" s="74">
      <c r="A24" s="297" t="inlineStr">
        <is>
          <t>Risk-Free Rate (10Y UST)</t>
        </is>
      </c>
      <c r="B24" s="304" t="n">
        <v>0.045</v>
      </c>
      <c r="C24" s="138"/>
      <c r="D24" s="139"/>
      <c r="E24" s="106"/>
      <c r="F24" s="106"/>
      <c r="G24" s="106"/>
      <c r="H24" s="106"/>
      <c r="I24" s="106"/>
      <c r="J24" s="106"/>
      <c r="K24" s="106"/>
      <c r="L24" s="106"/>
      <c r="M24" s="106"/>
    </row>
    <row r="25" ht="18" customHeight="1" s="74">
      <c r="A25" s="297" t="inlineStr">
        <is>
          <t>Equity Risk Premium (ERP)</t>
        </is>
      </c>
      <c r="B25" s="304" t="n">
        <v>0.0423</v>
      </c>
      <c r="C25" s="138"/>
      <c r="D25" s="139"/>
      <c r="E25" s="106"/>
      <c r="F25" s="106"/>
      <c r="G25" s="106"/>
      <c r="H25" s="106"/>
      <c r="I25" s="106"/>
      <c r="J25" s="106"/>
      <c r="K25" s="106"/>
      <c r="L25" s="106"/>
      <c r="M25" s="106"/>
    </row>
    <row r="26" ht="18" customHeight="1" s="74">
      <c r="A26" s="297" t="inlineStr">
        <is>
          <t>Beta (Levered)</t>
        </is>
      </c>
      <c r="B26" s="304" t="n">
        <v>1.193</v>
      </c>
      <c r="C26" s="138"/>
      <c r="D26" s="139"/>
      <c r="E26" s="106"/>
      <c r="F26" s="106"/>
      <c r="G26" s="106"/>
      <c r="H26" s="106"/>
      <c r="I26" s="106"/>
      <c r="J26" s="106"/>
      <c r="K26" s="106"/>
      <c r="L26" s="106"/>
      <c r="M26" s="106"/>
    </row>
    <row r="27" ht="18" customHeight="1" s="74">
      <c r="A27" s="297" t="inlineStr">
        <is>
          <t>Size Premium</t>
        </is>
      </c>
      <c r="B27" s="137"/>
      <c r="C27" s="138"/>
      <c r="D27" s="139"/>
      <c r="E27" s="106"/>
      <c r="F27" s="106"/>
      <c r="G27" s="106"/>
      <c r="H27" s="106"/>
      <c r="I27" s="106"/>
      <c r="J27" s="106"/>
      <c r="K27" s="106"/>
      <c r="L27" s="106"/>
      <c r="M27" s="106"/>
    </row>
    <row r="28" ht="18" customHeight="1" s="74">
      <c r="A28" s="305" t="inlineStr">
        <is>
          <t>Company-Specific Risk Premium</t>
        </is>
      </c>
      <c r="B28" s="150"/>
      <c r="C28" s="151"/>
      <c r="D28" s="152"/>
      <c r="E28" s="122"/>
      <c r="F28" s="122"/>
      <c r="G28" s="122"/>
      <c r="H28" s="122"/>
      <c r="I28" s="122"/>
      <c r="J28" s="122"/>
      <c r="K28" s="122"/>
      <c r="L28" s="122"/>
      <c r="M28" s="122"/>
    </row>
    <row r="29" ht="18" customHeight="1" s="74">
      <c r="A29" s="371" t="inlineStr">
        <is>
          <t>Cost of Equity  (Ke)</t>
        </is>
      </c>
      <c r="B29" s="372">
        <f>B24+B26*(B25+B28)+B27</f>
        <v>0.09546389999999999</v>
      </c>
      <c r="C29" s="373"/>
      <c r="D29" s="374"/>
      <c r="E29" s="375"/>
      <c r="F29" s="375"/>
      <c r="G29" s="375"/>
      <c r="H29" s="375"/>
      <c r="I29" s="375"/>
      <c r="J29" s="375"/>
      <c r="K29" s="375"/>
      <c r="L29" s="375"/>
      <c r="M29" s="375"/>
    </row>
    <row r="30" ht="8" customHeight="1" s="74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</row>
    <row r="31" ht="18" customHeight="1" s="74">
      <c r="A31" s="300" t="inlineStr">
        <is>
          <t>Pre-Tax Cost of Debt  (Kd)</t>
        </is>
      </c>
      <c r="B31" s="153"/>
      <c r="C31" s="142"/>
      <c r="D31" s="143"/>
      <c r="E31" s="111"/>
      <c r="F31" s="111"/>
      <c r="G31" s="111"/>
      <c r="H31" s="111"/>
      <c r="I31" s="111"/>
      <c r="J31" s="111"/>
      <c r="K31" s="111"/>
      <c r="L31" s="111"/>
      <c r="M31" s="111"/>
    </row>
    <row r="32" ht="18" customHeight="1" s="74">
      <c r="A32" s="300" t="inlineStr">
        <is>
          <t>Marginal Tax Rate</t>
        </is>
      </c>
      <c r="B32" s="153"/>
      <c r="C32" s="142"/>
      <c r="D32" s="143"/>
      <c r="E32" s="111"/>
      <c r="F32" s="111"/>
      <c r="G32" s="111"/>
      <c r="H32" s="111"/>
      <c r="I32" s="111"/>
      <c r="J32" s="111"/>
      <c r="K32" s="111"/>
      <c r="L32" s="111"/>
      <c r="M32" s="111"/>
    </row>
    <row r="33" ht="18" customHeight="1" s="74">
      <c r="A33" s="371" t="inlineStr">
        <is>
          <t>After-Tax Cost of Debt</t>
        </is>
      </c>
      <c r="B33" s="376"/>
      <c r="C33" s="373"/>
      <c r="D33" s="374"/>
      <c r="E33" s="375"/>
      <c r="F33" s="375"/>
      <c r="G33" s="375"/>
      <c r="H33" s="375"/>
      <c r="I33" s="375"/>
      <c r="J33" s="375"/>
      <c r="K33" s="375"/>
      <c r="L33" s="375"/>
      <c r="M33" s="375"/>
    </row>
    <row r="34" ht="8" customHeight="1" s="74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</row>
    <row r="35" ht="18" customHeight="1" s="74">
      <c r="A35" s="297" t="inlineStr">
        <is>
          <t>Debt / Total Capital  (market weights)</t>
        </is>
      </c>
      <c r="B35" s="148"/>
      <c r="C35" s="138"/>
      <c r="D35" s="139"/>
      <c r="E35" s="106"/>
      <c r="F35" s="106"/>
      <c r="G35" s="106"/>
      <c r="H35" s="106"/>
      <c r="I35" s="106"/>
      <c r="J35" s="106"/>
      <c r="K35" s="106"/>
      <c r="L35" s="106"/>
      <c r="M35" s="106"/>
    </row>
    <row r="36" ht="18" customHeight="1" s="74">
      <c r="A36" s="371" t="inlineStr">
        <is>
          <t>Equity / Total Capital</t>
        </is>
      </c>
      <c r="B36" s="376"/>
      <c r="C36" s="373"/>
      <c r="D36" s="374"/>
      <c r="E36" s="375"/>
      <c r="F36" s="375"/>
      <c r="G36" s="375"/>
      <c r="H36" s="375"/>
      <c r="I36" s="375"/>
      <c r="J36" s="375"/>
      <c r="K36" s="375"/>
      <c r="L36" s="375"/>
      <c r="M36" s="375"/>
    </row>
    <row r="37" ht="18" customHeight="1" s="74">
      <c r="A37" s="371" t="inlineStr">
        <is>
          <t>WACC</t>
        </is>
      </c>
      <c r="B37" s="376"/>
      <c r="C37" s="373"/>
      <c r="D37" s="374"/>
      <c r="E37" s="375"/>
      <c r="F37" s="375"/>
      <c r="G37" s="375"/>
      <c r="H37" s="375"/>
      <c r="I37" s="375"/>
      <c r="J37" s="375"/>
      <c r="K37" s="375"/>
      <c r="L37" s="375"/>
      <c r="M37" s="375"/>
    </row>
    <row r="38" ht="8" customHeight="1" s="74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</row>
    <row r="39" ht="22" customHeight="1" s="74">
      <c r="A39" s="296" t="inlineStr">
        <is>
          <t>C — HISTORICAL SHARE PRICES  (fiscal year-end)</t>
        </is>
      </c>
      <c r="B39" s="497"/>
      <c r="C39" s="497"/>
      <c r="D39" s="497"/>
      <c r="E39" s="497"/>
      <c r="F39" s="497"/>
      <c r="G39" s="497"/>
      <c r="H39" s="497"/>
      <c r="I39" s="497"/>
      <c r="J39" s="497"/>
      <c r="K39" s="497"/>
      <c r="L39" s="497"/>
      <c r="M39" s="497"/>
    </row>
    <row r="40" ht="18" customHeight="1" s="74">
      <c r="A40" s="306" t="inlineStr">
        <is>
          <t>Fiscal Year</t>
        </is>
      </c>
      <c r="B40" s="509" t="inlineStr">
        <is>
          <t>2016</t>
        </is>
      </c>
      <c r="C40" s="509" t="inlineStr">
        <is>
          <t>2017</t>
        </is>
      </c>
      <c r="D40" s="509" t="inlineStr">
        <is>
          <t>2018</t>
        </is>
      </c>
      <c r="E40" s="509" t="inlineStr">
        <is>
          <t>2019</t>
        </is>
      </c>
      <c r="F40" s="509" t="inlineStr">
        <is>
          <t>2020</t>
        </is>
      </c>
      <c r="G40" s="509" t="inlineStr">
        <is>
          <t>2021</t>
        </is>
      </c>
      <c r="H40" s="509" t="inlineStr">
        <is>
          <t>2022</t>
        </is>
      </c>
      <c r="I40" s="509" t="inlineStr">
        <is>
          <t>2023</t>
        </is>
      </c>
      <c r="J40" s="509" t="inlineStr">
        <is>
          <t>2024</t>
        </is>
      </c>
      <c r="K40" s="509" t="inlineStr">
        <is>
          <t>2025</t>
        </is>
      </c>
      <c r="L40" s="509" t="inlineStr">
        <is>
          <t>2026</t>
        </is>
      </c>
      <c r="M40" s="125"/>
    </row>
    <row r="41" ht="18" customHeight="1" s="74">
      <c r="A41" s="297" t="inlineStr">
        <is>
          <t>End-of-Year Price  ($)</t>
        </is>
      </c>
      <c r="B41" s="436" t="n">
        <v>56.45</v>
      </c>
      <c r="C41" s="436" t="n">
        <v>68.06</v>
      </c>
      <c r="D41" s="436" t="n">
        <v>79.09999999999999</v>
      </c>
      <c r="E41" s="436" t="n">
        <v>113.91</v>
      </c>
      <c r="F41" s="436" t="n">
        <v>151.97</v>
      </c>
      <c r="G41" s="436" t="n">
        <v>182.31</v>
      </c>
      <c r="H41" s="436" t="n">
        <v>225.56</v>
      </c>
      <c r="I41" s="436" t="n">
        <v>232.63</v>
      </c>
      <c r="J41" s="436" t="n">
        <v>167.97</v>
      </c>
      <c r="K41" s="436" t="n">
        <v>281.09</v>
      </c>
      <c r="L41" s="436" t="n">
        <v>341.7</v>
      </c>
      <c r="M41" s="106"/>
    </row>
    <row r="42" ht="14" customHeight="1" s="74">
      <c r="A42" s="307" t="inlineStr">
        <is>
          <t>Source: Yahoo Finance (historical prices) → select fiscal year-end closing price</t>
        </is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</row>
    <row r="43" ht="8" customHeight="1" s="7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</row>
    <row r="44" ht="22" customHeight="1" s="74">
      <c r="A44" s="296" t="inlineStr">
        <is>
          <t>D — PEER VALUATION MULTIPLES  (market-sourced)</t>
        </is>
      </c>
      <c r="B44" s="497"/>
      <c r="C44" s="497"/>
      <c r="D44" s="497"/>
      <c r="E44" s="497"/>
      <c r="F44" s="497"/>
      <c r="G44" s="497"/>
      <c r="H44" s="497"/>
      <c r="I44" s="497"/>
      <c r="J44" s="497"/>
      <c r="K44" s="497"/>
      <c r="L44" s="497"/>
      <c r="M44" s="497"/>
    </row>
    <row r="45" ht="18" customHeight="1" s="74">
      <c r="A45" s="306" t="inlineStr">
        <is>
          <t>Metric</t>
        </is>
      </c>
      <c r="B45" s="193"/>
      <c r="C45" s="193"/>
      <c r="D45" s="193"/>
      <c r="E45" s="193"/>
      <c r="F45" s="125"/>
      <c r="G45" s="125"/>
      <c r="H45" s="125"/>
      <c r="I45" s="125"/>
      <c r="J45" s="125"/>
      <c r="K45" s="125"/>
      <c r="L45" s="125"/>
      <c r="M45" s="125"/>
    </row>
    <row r="46" ht="18" customHeight="1" s="74">
      <c r="A46" s="297" t="inlineStr">
        <is>
          <t>EV / EBITDA  (×)</t>
        </is>
      </c>
      <c r="B46" s="461" t="n">
        <v>36.2</v>
      </c>
      <c r="C46" s="461" t="n">
        <v>24.1</v>
      </c>
      <c r="D46" s="158"/>
      <c r="E46" s="158"/>
      <c r="F46" s="106"/>
      <c r="G46" s="106"/>
      <c r="H46" s="106"/>
      <c r="I46" s="106"/>
      <c r="J46" s="106"/>
      <c r="K46" s="106"/>
      <c r="L46" s="106"/>
      <c r="M46" s="106"/>
    </row>
    <row r="47" ht="18" customHeight="1" s="74">
      <c r="A47" s="297" t="inlineStr">
        <is>
          <t>P / E  (×)</t>
        </is>
      </c>
      <c r="B47" s="461" t="n">
        <v>55.7</v>
      </c>
      <c r="C47" s="461" t="n">
        <v>40.4</v>
      </c>
      <c r="D47" s="158"/>
      <c r="E47" s="158"/>
      <c r="F47" s="106"/>
      <c r="G47" s="106"/>
      <c r="H47" s="106"/>
      <c r="I47" s="106"/>
      <c r="J47" s="106"/>
      <c r="K47" s="106"/>
      <c r="L47" s="106"/>
      <c r="M47" s="106"/>
    </row>
    <row r="48" ht="18" customHeight="1" s="74">
      <c r="A48" s="297" t="inlineStr">
        <is>
          <t>FCF Yield  (%)</t>
        </is>
      </c>
      <c r="B48" s="461" t="n">
        <v>4.7</v>
      </c>
      <c r="C48" s="461" t="n">
        <v>-0.1</v>
      </c>
      <c r="D48" s="158"/>
      <c r="E48" s="158"/>
      <c r="F48" s="106"/>
      <c r="G48" s="106"/>
      <c r="H48" s="106"/>
      <c r="I48" s="106"/>
      <c r="J48" s="106"/>
      <c r="K48" s="106"/>
      <c r="L48" s="106"/>
      <c r="M48" s="106"/>
    </row>
    <row r="49" ht="8" customHeight="1" s="74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</row>
    <row r="50">
      <c r="A50" s="308" t="inlineStr">
        <is>
          <t>Beta (Unlevered / Asset)</t>
        </is>
      </c>
      <c r="B50" s="308">
        <f>IFERROR(B26/(1+(1-B32)*(B35/B36)),"-")</f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FF990013"/>
    <outlinePr summaryBelow="1" summaryRight="1"/>
    <pageSetUpPr/>
  </sheetPr>
  <dimension ref="A1:AC90"/>
  <sheetViews>
    <sheetView showGridLines="1" zoomScale="100" zoomScaleNormal="100" workbookViewId="0">
      <pane xSplit="1" topLeftCell="B1" activePane="topRight" state="frozen"/>
    </sheetView>
  </sheetViews>
  <sheetFormatPr baseColWidth="10" defaultColWidth="8.6640625" defaultRowHeight="15"/>
  <cols>
    <col width="34" customWidth="1" style="74" min="1" max="1"/>
    <col width="12" customWidth="1" style="74" min="2" max="2"/>
    <col width="12" customWidth="1" style="74" min="3" max="3"/>
    <col width="12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12" customWidth="1" style="74" min="13" max="13"/>
    <col width="13" customWidth="1" style="74" min="14" max="14"/>
    <col width="13" customWidth="1" style="74" min="15" max="15"/>
    <col width="13" customWidth="1" style="74" min="16" max="16"/>
    <col width="13" customWidth="1" style="74" min="17" max="17"/>
    <col width="13" customWidth="1" style="74" min="18" max="18"/>
    <col width="13" customWidth="1" style="74" min="19" max="19"/>
    <col width="13" customWidth="1" style="74" min="20" max="20"/>
    <col width="13" customWidth="1" style="74" min="21" max="21"/>
    <col width="13" customWidth="1" style="74" min="22" max="22"/>
    <col width="13" customWidth="1" style="74" min="23" max="23"/>
    <col width="13" customWidth="1" style="74" min="24" max="24"/>
    <col width="13" customWidth="1" style="74" min="25" max="25"/>
    <col width="13" customWidth="1" style="74" min="26" max="26"/>
    <col width="13" customWidth="1" style="74" min="27" max="27"/>
    <col width="13" customWidth="1" style="74" min="28" max="28"/>
    <col width="13" customWidth="1" style="74" min="29" max="29"/>
  </cols>
  <sheetData>
    <row r="1" ht="54.75" customHeight="1" s="74">
      <c r="A1" s="1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2"/>
      <c r="O1" s="2"/>
      <c r="P1" s="2"/>
      <c r="Q1" s="2"/>
      <c r="R1" s="2"/>
      <c r="S1" s="2"/>
      <c r="T1" s="2"/>
      <c r="U1" s="2"/>
    </row>
    <row r="2" ht="17" customHeight="1" s="74">
      <c r="A2" s="291" t="inlineStr">
        <is>
          <t>Colour key:</t>
        </is>
      </c>
    </row>
    <row r="3" ht="15" customHeight="1" s="74">
      <c r="A3" s="17" t="inlineStr">
        <is>
          <t>Ticker</t>
        </is>
      </c>
      <c r="B3" s="377" t="inlineStr">
        <is>
          <t>CRM</t>
        </is>
      </c>
      <c r="C3" s="2"/>
      <c r="D3" s="2"/>
      <c r="E3" s="2"/>
      <c r="F3" s="2"/>
      <c r="G3" s="2"/>
      <c r="H3" s="2"/>
      <c r="I3" s="2"/>
      <c r="J3" s="2"/>
      <c r="K3" s="2"/>
      <c r="L3" s="2"/>
      <c r="N3" s="2"/>
      <c r="O3" s="2"/>
      <c r="P3" s="2"/>
      <c r="Q3" s="2"/>
      <c r="R3" s="2"/>
      <c r="S3" s="2"/>
      <c r="T3" s="2"/>
      <c r="U3" s="2"/>
    </row>
    <row r="4" ht="15" customHeight="1" s="74">
      <c r="A4" s="15" t="inlineStr">
        <is>
          <t>Company Name</t>
        </is>
      </c>
      <c r="B4" s="378" t="inlineStr">
        <is>
          <t>Salesforce, Inc.</t>
        </is>
      </c>
      <c r="C4" s="10"/>
      <c r="D4" s="10"/>
      <c r="E4" s="10"/>
      <c r="F4" s="10"/>
      <c r="G4" s="10"/>
      <c r="H4" s="10"/>
      <c r="I4" s="10"/>
      <c r="J4" s="10"/>
      <c r="K4" s="10"/>
      <c r="L4" s="10"/>
      <c r="N4" s="10"/>
      <c r="O4" s="10"/>
      <c r="P4" s="10"/>
      <c r="Q4" s="10"/>
      <c r="R4" s="10"/>
      <c r="S4" s="10"/>
      <c r="T4" s="10"/>
      <c r="U4" s="10"/>
    </row>
    <row r="5" ht="15" customHeight="1" s="74">
      <c r="A5" s="17" t="inlineStr">
        <is>
          <t>Sector / Industry</t>
        </is>
      </c>
      <c r="B5" s="377" t="inlineStr">
        <is>
          <t>Technology — Application Software</t>
        </is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</row>
    <row r="6" ht="15" customHeight="1" s="74">
      <c r="A6" s="15" t="inlineStr">
        <is>
          <t>Fiscal Year End</t>
        </is>
      </c>
      <c r="B6" s="378" t="inlineStr">
        <is>
          <t>January 31</t>
        </is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308"/>
      <c r="N6" s="10"/>
      <c r="O6" s="10"/>
      <c r="P6" s="10"/>
      <c r="Q6" s="10"/>
      <c r="R6" s="10"/>
      <c r="S6" s="10"/>
      <c r="T6" s="10"/>
      <c r="U6" s="10"/>
    </row>
    <row r="7" ht="15" customHeight="1" s="74">
      <c r="A7" s="17" t="inlineStr">
        <is>
          <t>Currency</t>
        </is>
      </c>
      <c r="B7" s="377" t="inlineStr">
        <is>
          <t>USD</t>
        </is>
      </c>
      <c r="C7" s="2"/>
      <c r="D7" s="2"/>
      <c r="E7" s="2"/>
      <c r="F7" s="2"/>
      <c r="G7" s="2"/>
      <c r="H7" s="2"/>
      <c r="I7" s="2"/>
      <c r="J7" s="2"/>
      <c r="K7" s="2"/>
      <c r="L7" s="2"/>
      <c r="N7" s="2"/>
      <c r="O7" s="2"/>
      <c r="P7" s="2"/>
      <c r="Q7" s="2"/>
      <c r="R7" s="2"/>
      <c r="S7" s="2"/>
      <c r="T7" s="2"/>
      <c r="U7" s="2"/>
    </row>
    <row r="8" ht="15" customHeight="1" s="74">
      <c r="A8" s="15" t="inlineStr">
        <is>
          <t>Current Share Price</t>
        </is>
      </c>
      <c r="B8" s="378" t="n">
        <v>150.14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308" t="inlineStr">
        <is>
          <t>market-researcher | stockanalysis.com (https://stockanalysis.com/stocks/crm/market-cap/) | as-of: 2026-06-22</t>
        </is>
      </c>
      <c r="N8" s="10"/>
      <c r="O8" s="10"/>
      <c r="P8" s="10"/>
      <c r="Q8" s="10"/>
      <c r="R8" s="10"/>
      <c r="S8" s="10"/>
      <c r="T8" s="10"/>
      <c r="U8" s="10"/>
    </row>
    <row r="9" ht="15" customHeight="1" s="74">
      <c r="A9" s="17" t="inlineStr">
        <is>
          <t>Report Date</t>
        </is>
      </c>
      <c r="B9" s="377"/>
      <c r="C9" s="2"/>
      <c r="D9" s="2"/>
      <c r="E9" s="2"/>
      <c r="F9" s="2"/>
      <c r="G9" s="2"/>
      <c r="H9" s="2"/>
      <c r="I9" s="2"/>
      <c r="J9" s="2"/>
      <c r="K9" s="2"/>
      <c r="L9" s="2"/>
      <c r="N9" s="2"/>
      <c r="O9" s="2"/>
      <c r="P9" s="2"/>
      <c r="Q9" s="2"/>
      <c r="R9" s="2"/>
      <c r="S9" s="2"/>
      <c r="T9" s="2"/>
      <c r="U9" s="2"/>
    </row>
    <row r="10" ht="15" customHeight="1" s="74">
      <c r="A10" s="15" t="inlineStr">
        <is>
          <t>Source (10-K filing date)</t>
        </is>
      </c>
      <c r="B10" s="378"/>
      <c r="C10" s="10"/>
      <c r="D10" s="10"/>
      <c r="E10" s="10"/>
      <c r="F10" s="10"/>
      <c r="G10" s="10"/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2"/>
      <c r="O11" s="2"/>
      <c r="P11" s="2"/>
      <c r="Q11" s="2"/>
      <c r="R11" s="2"/>
      <c r="S11" s="2"/>
      <c r="T11" s="2"/>
      <c r="U11" s="2"/>
    </row>
    <row r="12" ht="15" customHeight="1" s="74">
      <c r="A12" s="30" t="inlineStr">
        <is>
          <t>INCOME STATEMENT ($M)</t>
        </is>
      </c>
    </row>
    <row r="13" ht="28" customHeight="1" s="74">
      <c r="A13" s="14"/>
      <c r="B13" s="14" t="inlineStr">
        <is>
          <t>2016</t>
        </is>
      </c>
      <c r="C13" s="14" t="inlineStr">
        <is>
          <t>2017</t>
        </is>
      </c>
      <c r="D13" s="14" t="inlineStr">
        <is>
          <t>2018</t>
        </is>
      </c>
      <c r="E13" s="14" t="inlineStr">
        <is>
          <t>2019</t>
        </is>
      </c>
      <c r="F13" s="14" t="inlineStr">
        <is>
          <t>2020</t>
        </is>
      </c>
      <c r="G13" s="14" t="inlineStr">
        <is>
          <t>2021</t>
        </is>
      </c>
      <c r="H13" s="14" t="inlineStr">
        <is>
          <t>2022</t>
        </is>
      </c>
      <c r="I13" s="14" t="inlineStr">
        <is>
          <t>2023</t>
        </is>
      </c>
      <c r="J13" s="14" t="inlineStr">
        <is>
          <t>2024</t>
        </is>
      </c>
      <c r="K13" s="14" t="inlineStr">
        <is>
          <t>2025</t>
        </is>
      </c>
      <c r="L13" s="14" t="inlineStr">
        <is>
          <t>2026</t>
        </is>
      </c>
      <c r="N13" s="14" t="inlineStr">
        <is>
          <t xml:space="preserve">Year -2
Q1</t>
        </is>
      </c>
      <c r="O13" s="14" t="inlineStr">
        <is>
          <t xml:space="preserve">Year -2
Q2</t>
        </is>
      </c>
      <c r="P13" s="14" t="inlineStr">
        <is>
          <t xml:space="preserve">Year -2
Q3</t>
        </is>
      </c>
      <c r="Q13" s="14" t="inlineStr">
        <is>
          <t xml:space="preserve">Year -2
Q4</t>
        </is>
      </c>
      <c r="R13" s="14" t="inlineStr">
        <is>
          <t xml:space="preserve">Year -1
Q1</t>
        </is>
      </c>
      <c r="S13" s="14" t="inlineStr">
        <is>
          <t xml:space="preserve">Year -1
Q2</t>
        </is>
      </c>
      <c r="T13" s="14" t="inlineStr">
        <is>
          <t xml:space="preserve">Year -1
Q3</t>
        </is>
      </c>
      <c r="U13" s="14" t="inlineStr">
        <is>
          <t xml:space="preserve">Year -1
Q4</t>
        </is>
      </c>
      <c r="V13" s="14" t="inlineStr">
        <is>
          <t xml:space="preserve">Current Year
Q1</t>
        </is>
      </c>
      <c r="W13" s="14" t="inlineStr">
        <is>
          <t xml:space="preserve">Current Year
Q2</t>
        </is>
      </c>
      <c r="X13" s="14" t="inlineStr">
        <is>
          <t xml:space="preserve">Current Year
Q3</t>
        </is>
      </c>
      <c r="Y13" s="14" t="inlineStr">
        <is>
          <t xml:space="preserve">Current Year
Q4</t>
        </is>
      </c>
      <c r="Z13" s="435"/>
      <c r="AA13" s="435"/>
      <c r="AB13" s="435"/>
      <c r="AC13" s="435"/>
    </row>
    <row r="14" ht="15" customHeight="1" s="74">
      <c r="A14" s="15" t="inlineStr">
        <is>
          <t>Revenue</t>
        </is>
      </c>
      <c r="B14" s="379" t="n">
        <v>6667.216</v>
      </c>
      <c r="C14" s="379" t="n">
        <v>8391.984</v>
      </c>
      <c r="D14" s="379" t="n">
        <v>10480.012</v>
      </c>
      <c r="E14" s="379" t="n">
        <v>13282</v>
      </c>
      <c r="F14" s="379" t="n">
        <v>17098</v>
      </c>
      <c r="G14" s="379" t="n">
        <v>21252</v>
      </c>
      <c r="H14" s="379" t="n">
        <v>26492</v>
      </c>
      <c r="I14" s="379" t="n">
        <v>31352</v>
      </c>
      <c r="J14" s="379" t="n">
        <v>34857</v>
      </c>
      <c r="K14" s="379" t="n">
        <v>37895</v>
      </c>
      <c r="L14" s="379" t="n">
        <v>41525</v>
      </c>
      <c r="N14" s="380" t="n">
        <v>9133</v>
      </c>
      <c r="O14" s="380" t="n">
        <v>9325</v>
      </c>
      <c r="P14" s="380" t="n">
        <v>9444</v>
      </c>
      <c r="Q14" s="380" t="n">
        <v>9993</v>
      </c>
      <c r="R14" s="380" t="n">
        <v>9829</v>
      </c>
      <c r="S14" s="380" t="n">
        <v>10236</v>
      </c>
      <c r="T14" s="380" t="n">
        <v>10259</v>
      </c>
      <c r="U14" s="380" t="n">
        <v>11201</v>
      </c>
      <c r="V14" s="381" t="n">
        <v>11133</v>
      </c>
      <c r="W14" s="462"/>
      <c r="X14" s="462"/>
      <c r="Y14" s="462"/>
    </row>
    <row r="15" ht="15" customHeight="1" s="74">
      <c r="A15" s="17" t="inlineStr">
        <is>
          <t>Cost of Goods Sold</t>
        </is>
      </c>
      <c r="B15" s="382" t="n">
        <v>1654.548</v>
      </c>
      <c r="C15" s="382" t="n">
        <v>2234.039</v>
      </c>
      <c r="D15" s="382" t="n">
        <v>2773.522</v>
      </c>
      <c r="E15" s="382" t="n">
        <v>3451</v>
      </c>
      <c r="F15" s="382" t="n">
        <v>4235</v>
      </c>
      <c r="G15" s="382" t="n">
        <v>5438</v>
      </c>
      <c r="H15" s="382" t="n">
        <v>7026</v>
      </c>
      <c r="I15" s="382" t="n">
        <v>8360</v>
      </c>
      <c r="J15" s="382" t="n">
        <v>8541</v>
      </c>
      <c r="K15" s="382" t="n">
        <v>8643</v>
      </c>
      <c r="L15" s="382" t="n">
        <v>9270</v>
      </c>
      <c r="N15" s="383" t="n">
        <v>2162</v>
      </c>
      <c r="O15" s="383" t="n">
        <v>2159</v>
      </c>
      <c r="P15" s="383" t="n">
        <v>2105</v>
      </c>
      <c r="Q15" s="383" t="n">
        <v>2217</v>
      </c>
      <c r="R15" s="383" t="n">
        <v>2265</v>
      </c>
      <c r="S15" s="383" t="n">
        <v>2242</v>
      </c>
      <c r="T15" s="383" t="n">
        <v>2255</v>
      </c>
      <c r="U15" s="383" t="n">
        <v>2508</v>
      </c>
      <c r="V15" s="384" t="n">
        <v>2570</v>
      </c>
      <c r="W15" s="462"/>
      <c r="X15" s="462"/>
      <c r="Y15" s="462"/>
    </row>
    <row r="16" ht="15" customHeight="1" s="74">
      <c r="A16" s="15" t="inlineStr">
        <is>
          <t>Gross Profit</t>
        </is>
      </c>
      <c r="B16" s="385">
        <f>IFERROR(IF(OR(NOT(ISNUMBER(Data!B14)),NOT(ISNUMBER(Data!B15))),"-",Data!B14-Data!B15),"-")</f>
        <v>5012.668000000001</v>
      </c>
      <c r="C16" s="385">
        <f>IFERROR(IF(OR(NOT(ISNUMBER(Data!C14)),NOT(ISNUMBER(Data!C15))),"-",Data!C14-Data!C15),"-")</f>
        <v>6157.945</v>
      </c>
      <c r="D16" s="385">
        <f>IFERROR(IF(OR(NOT(ISNUMBER(Data!D14)),NOT(ISNUMBER(Data!D15))),"-",Data!D14-Data!D15),"-")</f>
        <v>7706.490000000001</v>
      </c>
      <c r="E16" s="385">
        <f>IFERROR(IF(OR(NOT(ISNUMBER(Data!E14)),NOT(ISNUMBER(Data!E15))),"-",Data!E14-Data!E15),"-")</f>
        <v>9831.0</v>
      </c>
      <c r="F16" s="385">
        <f>IFERROR(IF(OR(NOT(ISNUMBER(Data!F14)),NOT(ISNUMBER(Data!F15))),"-",Data!F14-Data!F15),"-")</f>
        <v>12863.0</v>
      </c>
      <c r="G16" s="385">
        <f>IFERROR(IF(OR(NOT(ISNUMBER(Data!G14)),NOT(ISNUMBER(Data!G15))),"-",Data!G14-Data!G15),"-")</f>
        <v>15814.0</v>
      </c>
      <c r="H16" s="385">
        <f>IFERROR(IF(OR(NOT(ISNUMBER(Data!H14)),NOT(ISNUMBER(Data!H15))),"-",Data!H14-Data!H15),"-")</f>
        <v>19466.0</v>
      </c>
      <c r="I16" s="385">
        <f>IFERROR(IF(OR(NOT(ISNUMBER(Data!I14)),NOT(ISNUMBER(Data!I15))),"-",Data!I14-Data!I15),"-")</f>
        <v>22992.0</v>
      </c>
      <c r="J16" s="385">
        <f>IFERROR(IF(OR(NOT(ISNUMBER(Data!J14)),NOT(ISNUMBER(Data!J15))),"-",Data!J14-Data!J15),"-")</f>
        <v>26316.0</v>
      </c>
      <c r="K16" s="385">
        <f>IFERROR(IF(OR(NOT(ISNUMBER(Data!K14)),NOT(ISNUMBER(Data!K15))),"-",Data!K14-Data!K15),"-")</f>
        <v>29252.0</v>
      </c>
      <c r="L16" s="385">
        <f>IFERROR(IF(OR(NOT(ISNUMBER(Data!L14)),NOT(ISNUMBER(Data!L15))),"-",Data!L14-Data!L15),"-")</f>
        <v>32255.0</v>
      </c>
      <c r="N16" s="386">
        <f>IFERROR(IF(OR(NOT(ISNUMBER(Data!N14)),NOT(ISNUMBER(Data!N15))),"-",Data!N14-Data!N15),"-")</f>
        <v>6971.0</v>
      </c>
      <c r="O16" s="386">
        <f>IFERROR(IF(OR(NOT(ISNUMBER(Data!O14)),NOT(ISNUMBER(Data!O15))),"-",Data!O14-Data!O15),"-")</f>
        <v>7166.0</v>
      </c>
      <c r="P16" s="386">
        <f>IFERROR(IF(OR(NOT(ISNUMBER(Data!P14)),NOT(ISNUMBER(Data!P15))),"-",Data!P14-Data!P15),"-")</f>
        <v>7339.0</v>
      </c>
      <c r="Q16" s="386">
        <f>IFERROR(IF(OR(NOT(ISNUMBER(Data!Q14)),NOT(ISNUMBER(Data!Q15))),"-",Data!Q14-Data!Q15),"-")</f>
        <v>7776.0</v>
      </c>
      <c r="R16" s="386">
        <f>IFERROR(IF(OR(NOT(ISNUMBER(Data!R14)),NOT(ISNUMBER(Data!R15))),"-",Data!R14-Data!R15),"-")</f>
        <v>7564.0</v>
      </c>
      <c r="S16" s="386">
        <f>IFERROR(IF(OR(NOT(ISNUMBER(Data!S14)),NOT(ISNUMBER(Data!S15))),"-",Data!S14-Data!S15),"-")</f>
        <v>7994.0</v>
      </c>
      <c r="T16" s="386">
        <f>IFERROR(IF(OR(NOT(ISNUMBER(Data!T14)),NOT(ISNUMBER(Data!T15))),"-",Data!T14-Data!T15),"-")</f>
        <v>8004.0</v>
      </c>
      <c r="U16" s="386">
        <f>IFERROR(IF(OR(NOT(ISNUMBER(Data!U14)),NOT(ISNUMBER(Data!U15))),"-",Data!U14-Data!U15),"-")</f>
        <v>8693.0</v>
      </c>
      <c r="V16" s="387">
        <f>IFERROR(IF(OR(NOT(ISNUMBER(Data!V14)),NOT(ISNUMBER(Data!V15))),"-",Data!V14-Data!V15),"-")</f>
        <v>8563.0</v>
      </c>
      <c r="W16" s="463">
        <f>IFERROR(IF(OR(NOT(ISNUMBER(Data!W14)),NOT(ISNUMBER(Data!W15))),"-",Data!W14-Data!W15),"-")</f>
      </c>
      <c r="X16" s="463">
        <f>IFERROR(IF(OR(NOT(ISNUMBER(Data!X14)),NOT(ISNUMBER(Data!X15))),"-",Data!X14-Data!X15),"-")</f>
      </c>
      <c r="Y16" s="463">
        <f>IFERROR(IF(OR(NOT(ISNUMBER(Data!Y14)),NOT(ISNUMBER(Data!Y15))),"-",Data!Y14-Data!Y15),"-")</f>
      </c>
    </row>
    <row r="17" ht="15" customHeight="1" s="74">
      <c r="A17" s="17" t="inlineStr">
        <is>
          <t>SG&amp;A</t>
        </is>
      </c>
      <c r="B17" s="382" t="n">
        <v>3988.062</v>
      </c>
      <c r="C17" s="382" t="n">
        <v>4885.59</v>
      </c>
      <c r="D17" s="382" t="n">
        <v>5917.649</v>
      </c>
      <c r="E17" s="382" t="n">
        <v>7410</v>
      </c>
      <c r="F17" s="382" t="n">
        <v>9634</v>
      </c>
      <c r="G17" s="382" t="n">
        <v>11761</v>
      </c>
      <c r="H17" s="382" t="n">
        <v>14453</v>
      </c>
      <c r="I17" s="382" t="n">
        <v>16079</v>
      </c>
      <c r="J17" s="382" t="n">
        <v>15411</v>
      </c>
      <c r="K17" s="382" t="n">
        <v>16093</v>
      </c>
      <c r="L17" s="382" t="n">
        <v>17345</v>
      </c>
      <c r="N17" s="383" t="n">
        <v>3886</v>
      </c>
      <c r="O17" s="383" t="n">
        <v>3935</v>
      </c>
      <c r="P17" s="383" t="n">
        <v>4034</v>
      </c>
      <c r="Q17" s="383" t="n">
        <v>4238</v>
      </c>
      <c r="R17" s="383" t="n">
        <v>4126</v>
      </c>
      <c r="S17" s="383" t="n">
        <v>4177</v>
      </c>
      <c r="T17" s="383" t="n">
        <v>4123</v>
      </c>
      <c r="U17" s="383" t="n">
        <v>4919</v>
      </c>
      <c r="V17" s="384" t="n">
        <v>4509</v>
      </c>
      <c r="W17" s="384"/>
      <c r="X17" s="384"/>
      <c r="Y17" s="384"/>
    </row>
    <row r="18" ht="15" customHeight="1" s="74">
      <c r="A18" s="15" t="inlineStr">
        <is>
          <t>R&amp;D</t>
        </is>
      </c>
      <c r="B18" s="379" t="n">
        <v>946.3</v>
      </c>
      <c r="C18" s="379" t="n">
        <v>1208.127</v>
      </c>
      <c r="D18" s="379" t="n">
        <v>1553.073</v>
      </c>
      <c r="E18" s="379" t="n">
        <v>1886</v>
      </c>
      <c r="F18" s="379" t="n">
        <v>2766</v>
      </c>
      <c r="G18" s="379" t="n">
        <v>3598</v>
      </c>
      <c r="H18" s="379" t="n">
        <v>4465</v>
      </c>
      <c r="I18" s="379" t="n">
        <v>5055</v>
      </c>
      <c r="J18" s="379" t="n">
        <v>4906</v>
      </c>
      <c r="K18" s="379" t="n">
        <v>5493</v>
      </c>
      <c r="L18" s="379" t="n">
        <v>5993</v>
      </c>
      <c r="N18" s="380" t="n">
        <v>1368</v>
      </c>
      <c r="O18" s="380" t="n">
        <v>1349</v>
      </c>
      <c r="P18" s="380" t="n">
        <v>1356</v>
      </c>
      <c r="Q18" s="380" t="n">
        <v>1420</v>
      </c>
      <c r="R18" s="380" t="n">
        <v>1460</v>
      </c>
      <c r="S18" s="380" t="n">
        <v>1481</v>
      </c>
      <c r="T18" s="380" t="n">
        <v>1433</v>
      </c>
      <c r="U18" s="380" t="n">
        <v>1619</v>
      </c>
      <c r="V18" s="381" t="n">
        <v>1627</v>
      </c>
      <c r="W18" s="381"/>
      <c r="X18" s="381"/>
      <c r="Y18" s="381"/>
    </row>
    <row r="19" ht="15" customHeight="1" s="74">
      <c r="A19" s="17" t="inlineStr">
        <is>
          <t>Total OpEx (excl. COGS)</t>
        </is>
      </c>
      <c r="B19" s="71" t="n">
        <v>4897.745</v>
      </c>
      <c r="C19" s="71" t="n">
        <v>6093.717</v>
      </c>
      <c r="D19" s="71" t="n">
        <v>7470.722</v>
      </c>
      <c r="E19" s="71" t="n">
        <v>9296</v>
      </c>
      <c r="F19" s="71" t="n">
        <v>12566</v>
      </c>
      <c r="G19" s="71" t="n">
        <v>15359</v>
      </c>
      <c r="H19" s="71" t="n">
        <v>18918</v>
      </c>
      <c r="I19" s="71" t="n">
        <v>21962</v>
      </c>
      <c r="J19" s="71" t="n">
        <v>21305</v>
      </c>
      <c r="K19" s="71" t="n">
        <v>22047</v>
      </c>
      <c r="L19" s="71" t="n">
        <v>23924</v>
      </c>
      <c r="N19" s="216"/>
      <c r="O19" s="216"/>
      <c r="P19" s="216"/>
      <c r="Q19" s="216"/>
      <c r="R19" s="216"/>
      <c r="S19" s="216"/>
      <c r="T19" s="216"/>
      <c r="U19" s="216"/>
      <c r="V19" s="256"/>
      <c r="W19" s="463"/>
      <c r="X19" s="463"/>
      <c r="Y19" s="463"/>
    </row>
    <row r="20" ht="15" customHeight="1" s="74">
      <c r="A20" s="15" t="inlineStr">
        <is>
          <t>EBITDA</t>
        </is>
      </c>
      <c r="B20" s="388">
        <f>IFERROR(IF(OR(NOT(ISNUMBER(Data!B22)),NOT(ISNUMBER(Data!B21))),"-",Data!B22+Data!B21),"-")</f>
        <v>640.673</v>
      </c>
      <c r="C20" s="388">
        <f>IFERROR(IF(OR(NOT(ISNUMBER(Data!C22)),NOT(ISNUMBER(Data!C21))),"-",Data!C22+Data!C21),"-")</f>
        <v>696.473</v>
      </c>
      <c r="D20" s="388">
        <f>IFERROR(IF(OR(NOT(ISNUMBER(Data!D22)),NOT(ISNUMBER(Data!D21))),"-",Data!D22+Data!D21),"-")</f>
        <v>988.368</v>
      </c>
      <c r="E20" s="388">
        <f>IFERROR(IF(OR(NOT(ISNUMBER(Data!E22)),NOT(ISNUMBER(Data!E21))),"-",Data!E22+Data!E21),"-")</f>
        <v>1497.0</v>
      </c>
      <c r="F20" s="388">
        <f>IFERROR(IF(OR(NOT(ISNUMBER(Data!F22)),NOT(ISNUMBER(Data!F21))),"-",Data!F22+Data!F21),"-")</f>
        <v>2432.0</v>
      </c>
      <c r="G20" s="388">
        <f>IFERROR(IF(OR(NOT(ISNUMBER(Data!G22)),NOT(ISNUMBER(Data!G21))),"-",Data!G22+Data!G21),"-")</f>
        <v>3301.0</v>
      </c>
      <c r="H20" s="388">
        <f>IFERROR(IF(OR(NOT(ISNUMBER(Data!H22)),NOT(ISNUMBER(Data!H21))),"-",Data!H22+Data!H21),"-")</f>
        <v>3846.0</v>
      </c>
      <c r="I20" s="388">
        <f>IFERROR(IF(OR(NOT(ISNUMBER(Data!I22)),NOT(ISNUMBER(Data!I21))),"-",Data!I22+Data!I21),"-")</f>
        <v>4816.0</v>
      </c>
      <c r="J20" s="388">
        <f>IFERROR(IF(OR(NOT(ISNUMBER(Data!J22)),NOT(ISNUMBER(Data!J21))),"-",Data!J22+Data!J21),"-")</f>
        <v>8970.0</v>
      </c>
      <c r="K20" s="388">
        <f>IFERROR(IF(OR(NOT(ISNUMBER(Data!K22)),NOT(ISNUMBER(Data!K21))),"-",Data!K22+Data!K21),"-")</f>
        <v>10682.0</v>
      </c>
      <c r="L20" s="388">
        <f>IFERROR(IF(OR(NOT(ISNUMBER(Data!L22)),NOT(ISNUMBER(Data!L21))),"-",Data!L22+Data!L21),"-")</f>
        <v>11962.0</v>
      </c>
      <c r="N20" s="389">
        <f>IFERROR(IF(OR(NOT(ISNUMBER(Data!N22)),NOT(ISNUMBER(Data!N21))),"-",Data!N22+Data!N21),"-")</f>
        <v>2588.0</v>
      </c>
      <c r="O20" s="389">
        <f>IFERROR(IF(OR(NOT(ISNUMBER(Data!O22)),NOT(ISNUMBER(Data!O21))),"-",Data!O22+Data!O21),"-")</f>
        <v>2690.0</v>
      </c>
      <c r="P20" s="389">
        <f>IFERROR(IF(OR(NOT(ISNUMBER(Data!P22)),NOT(ISNUMBER(Data!P21))),"-",Data!P22+Data!P21),"-")</f>
        <v>2707.0</v>
      </c>
      <c r="Q20" s="389">
        <f>IFERROR(IF(OR(NOT(ISNUMBER(Data!Q22)),NOT(ISNUMBER(Data!Q21))),"-",Data!Q22+Data!Q21),"-")</f>
        <v>2697.0</v>
      </c>
      <c r="R20" s="389">
        <f>IFERROR(IF(OR(NOT(ISNUMBER(Data!R22)),NOT(ISNUMBER(Data!R21))),"-",Data!R22+Data!R21),"-")</f>
        <v>2785.0</v>
      </c>
      <c r="S20" s="389">
        <f>IFERROR(IF(OR(NOT(ISNUMBER(Data!S22)),NOT(ISNUMBER(Data!S21))),"-",Data!S22+Data!S21),"-")</f>
        <v>3149.0</v>
      </c>
      <c r="T20" s="389">
        <f>IFERROR(IF(OR(NOT(ISNUMBER(Data!T22)),NOT(ISNUMBER(Data!T21))),"-",Data!T22+Data!T21),"-")</f>
        <v>3039.0</v>
      </c>
      <c r="U20" s="389">
        <f>IFERROR(IF(OR(NOT(ISNUMBER(Data!U22)),NOT(ISNUMBER(Data!U21))),"-",Data!U22+Data!U21),"-")</f>
        <v>2989.0</v>
      </c>
      <c r="V20" s="390">
        <f>IFERROR(IF(OR(NOT(ISNUMBER(Data!V22)),NOT(ISNUMBER(Data!V21))),"-",Data!V22+Data!V21),"-")</f>
        <v>3332.0</v>
      </c>
      <c r="W20" s="390">
        <f>IFERROR(IF(OR(NOT(ISNUMBER(Data!W22)),NOT(ISNUMBER(Data!W21))),"-",Data!W22+Data!W21),"-")</f>
      </c>
      <c r="X20" s="390">
        <f>IFERROR(IF(OR(NOT(ISNUMBER(Data!X22)),NOT(ISNUMBER(Data!X21))),"-",Data!X22+Data!X21),"-")</f>
      </c>
      <c r="Y20" s="390">
        <f>IFERROR(IF(OR(NOT(ISNUMBER(Data!Y22)),NOT(ISNUMBER(Data!Y21))),"-",Data!Y22+Data!Y21),"-")</f>
      </c>
    </row>
    <row r="21" ht="15" customHeight="1" s="74">
      <c r="A21" s="17" t="inlineStr">
        <is>
          <t>D&amp;A</t>
        </is>
      </c>
      <c r="B21" s="382" t="n">
        <v>525.75</v>
      </c>
      <c r="C21" s="382" t="n">
        <v>632.245</v>
      </c>
      <c r="D21" s="382" t="n">
        <v>752.6</v>
      </c>
      <c r="E21" s="382" t="n">
        <v>962</v>
      </c>
      <c r="F21" s="382" t="n">
        <v>2135</v>
      </c>
      <c r="G21" s="382" t="n">
        <v>2846</v>
      </c>
      <c r="H21" s="382" t="n">
        <v>3298</v>
      </c>
      <c r="I21" s="382" t="n">
        <v>3786</v>
      </c>
      <c r="J21" s="382" t="n">
        <v>3959</v>
      </c>
      <c r="K21" s="382" t="n">
        <v>3477</v>
      </c>
      <c r="L21" s="382" t="n">
        <v>3631</v>
      </c>
      <c r="N21" s="383" t="n">
        <v>879</v>
      </c>
      <c r="O21" s="383" t="n">
        <v>907</v>
      </c>
      <c r="P21" s="383" t="n">
        <v>814</v>
      </c>
      <c r="Q21" s="383" t="n">
        <v>877</v>
      </c>
      <c r="R21" s="383" t="n">
        <v>843</v>
      </c>
      <c r="S21" s="383" t="n">
        <v>817</v>
      </c>
      <c r="T21" s="383" t="n">
        <v>851</v>
      </c>
      <c r="U21" s="383" t="n">
        <v>1120</v>
      </c>
      <c r="V21" s="384" t="n">
        <v>985</v>
      </c>
      <c r="W21" s="384"/>
      <c r="X21" s="384"/>
      <c r="Y21" s="384"/>
    </row>
    <row r="22" ht="15" customHeight="1" s="74">
      <c r="A22" s="15" t="inlineStr">
        <is>
          <t>EBIT (Operating Income)</t>
        </is>
      </c>
      <c r="B22" s="70" t="n">
        <v>114.923</v>
      </c>
      <c r="C22" s="70" t="n">
        <v>64.22799999999999</v>
      </c>
      <c r="D22" s="70" t="n">
        <v>235.768</v>
      </c>
      <c r="E22" s="70" t="n">
        <v>535</v>
      </c>
      <c r="F22" s="70" t="n">
        <v>297</v>
      </c>
      <c r="G22" s="70" t="n">
        <v>455</v>
      </c>
      <c r="H22" s="70" t="n">
        <v>548</v>
      </c>
      <c r="I22" s="70" t="n">
        <v>1030</v>
      </c>
      <c r="J22" s="70" t="n">
        <v>5011</v>
      </c>
      <c r="K22" s="70" t="n">
        <v>7205</v>
      </c>
      <c r="L22" s="70" t="n">
        <v>8331</v>
      </c>
      <c r="N22" s="220" t="n">
        <v>1709</v>
      </c>
      <c r="O22" s="220" t="n">
        <v>1783</v>
      </c>
      <c r="P22" s="220" t="n">
        <v>1893</v>
      </c>
      <c r="Q22" s="220" t="n">
        <v>1820</v>
      </c>
      <c r="R22" s="220" t="n">
        <v>1942</v>
      </c>
      <c r="S22" s="220" t="n">
        <v>2332</v>
      </c>
      <c r="T22" s="220" t="n">
        <v>2188</v>
      </c>
      <c r="U22" s="220" t="n">
        <v>1869</v>
      </c>
      <c r="V22" s="258" t="n">
        <v>2347</v>
      </c>
      <c r="W22" s="463"/>
      <c r="X22" s="463"/>
      <c r="Y22" s="463"/>
    </row>
    <row r="23" ht="15" customHeight="1" s="74">
      <c r="A23" s="17" t="inlineStr">
        <is>
          <t>Interest Expense</t>
        </is>
      </c>
      <c r="B23" s="382" t="n">
        <v>72.485</v>
      </c>
      <c r="C23" s="382" t="n">
        <v>88.988</v>
      </c>
      <c r="D23" s="382" t="n">
        <v>86.943</v>
      </c>
      <c r="E23" s="382" t="n">
        <v>154</v>
      </c>
      <c r="F23" s="382" t="n">
        <v>131</v>
      </c>
      <c r="G23" s="382" t="n">
        <v>110</v>
      </c>
      <c r="H23" s="382"/>
      <c r="I23" s="382"/>
      <c r="J23" s="382"/>
      <c r="K23" s="382"/>
      <c r="L23" s="382"/>
      <c r="N23" s="383"/>
      <c r="O23" s="383"/>
      <c r="P23" s="383"/>
      <c r="Q23" s="383"/>
      <c r="R23" s="383"/>
      <c r="S23" s="383"/>
      <c r="T23" s="383"/>
      <c r="U23" s="383"/>
      <c r="V23" s="384" t="n">
        <v>317</v>
      </c>
      <c r="W23" s="462"/>
      <c r="X23" s="462"/>
      <c r="Y23" s="462"/>
    </row>
    <row r="24" ht="15" customHeight="1" s="74">
      <c r="A24" s="15" t="inlineStr">
        <is>
          <t>Pre-Tax Income</t>
        </is>
      </c>
      <c r="B24" s="70" t="n">
        <v>64.279</v>
      </c>
      <c r="C24" s="70" t="n">
        <v>25.383</v>
      </c>
      <c r="D24" s="70" t="n">
        <v>202.108</v>
      </c>
      <c r="E24" s="70" t="n">
        <v>983</v>
      </c>
      <c r="F24" s="70" t="n">
        <v>706</v>
      </c>
      <c r="G24" s="70" t="n">
        <v>2561</v>
      </c>
      <c r="H24" s="70" t="n">
        <v>1532</v>
      </c>
      <c r="I24" s="70" t="n">
        <v>660</v>
      </c>
      <c r="J24" s="70" t="n">
        <v>4950</v>
      </c>
      <c r="K24" s="70" t="n">
        <v>7438</v>
      </c>
      <c r="L24" s="70" t="n">
        <v>9520</v>
      </c>
      <c r="N24" s="220" t="n">
        <v>1867</v>
      </c>
      <c r="O24" s="220" t="n">
        <v>1837</v>
      </c>
      <c r="P24" s="220" t="n">
        <v>1746</v>
      </c>
      <c r="Q24" s="220" t="n">
        <v>1988</v>
      </c>
      <c r="R24" s="220" t="n">
        <v>1974</v>
      </c>
      <c r="S24" s="220" t="n">
        <v>2406</v>
      </c>
      <c r="T24" s="220" t="n">
        <v>2512</v>
      </c>
      <c r="U24" s="220" t="n">
        <v>2628</v>
      </c>
      <c r="V24" s="258" t="n">
        <v>2721</v>
      </c>
      <c r="W24" s="463"/>
      <c r="X24" s="463"/>
      <c r="Y24" s="463"/>
    </row>
    <row r="25" ht="15" customHeight="1" s="74">
      <c r="A25" s="17" t="inlineStr">
        <is>
          <t>Tax Expense</t>
        </is>
      </c>
      <c r="B25" s="388" t="n">
        <v>111.705</v>
      </c>
      <c r="C25" s="388" t="n">
        <v>-154.249</v>
      </c>
      <c r="D25" s="388" t="n">
        <v>74.63</v>
      </c>
      <c r="E25" s="388" t="n">
        <v>-127</v>
      </c>
      <c r="F25" s="388" t="n">
        <v>580</v>
      </c>
      <c r="G25" s="388" t="n">
        <v>-1511</v>
      </c>
      <c r="H25" s="388" t="n">
        <v>88</v>
      </c>
      <c r="I25" s="388" t="n">
        <v>452</v>
      </c>
      <c r="J25" s="388" t="n">
        <v>814</v>
      </c>
      <c r="K25" s="388" t="n">
        <v>1241</v>
      </c>
      <c r="L25" s="388" t="n">
        <v>2063</v>
      </c>
      <c r="N25" s="389" t="n">
        <v>334</v>
      </c>
      <c r="O25" s="389" t="n">
        <v>408</v>
      </c>
      <c r="P25" s="389" t="n">
        <v>219</v>
      </c>
      <c r="Q25" s="389" t="n">
        <v>280</v>
      </c>
      <c r="R25" s="389" t="n">
        <v>433</v>
      </c>
      <c r="S25" s="389" t="n">
        <v>519</v>
      </c>
      <c r="T25" s="389" t="n">
        <v>426</v>
      </c>
      <c r="U25" s="389" t="n">
        <v>685</v>
      </c>
      <c r="V25" s="390" t="n">
        <v>614</v>
      </c>
      <c r="W25" s="462"/>
      <c r="X25" s="462"/>
      <c r="Y25" s="462"/>
    </row>
    <row r="26" ht="15" customHeight="1" s="74">
      <c r="A26" s="15" t="inlineStr">
        <is>
          <t>Net Income</t>
        </is>
      </c>
      <c r="B26" s="379" t="n">
        <v>-47.426</v>
      </c>
      <c r="C26" s="379" t="n">
        <v>179.632</v>
      </c>
      <c r="D26" s="379" t="n">
        <v>127.478</v>
      </c>
      <c r="E26" s="379" t="n">
        <v>1110</v>
      </c>
      <c r="F26" s="379" t="n">
        <v>126</v>
      </c>
      <c r="G26" s="379" t="n">
        <v>4072</v>
      </c>
      <c r="H26" s="379" t="n">
        <v>1444</v>
      </c>
      <c r="I26" s="379" t="n">
        <v>208</v>
      </c>
      <c r="J26" s="379" t="n">
        <v>4136</v>
      </c>
      <c r="K26" s="379" t="n">
        <v>6197</v>
      </c>
      <c r="L26" s="379" t="n">
        <v>7457</v>
      </c>
      <c r="N26" s="380" t="n">
        <v>1533</v>
      </c>
      <c r="O26" s="380" t="n">
        <v>1429</v>
      </c>
      <c r="P26" s="380" t="n">
        <v>1527</v>
      </c>
      <c r="Q26" s="380" t="n">
        <v>1708</v>
      </c>
      <c r="R26" s="380" t="n">
        <v>1541</v>
      </c>
      <c r="S26" s="380" t="n">
        <v>1887</v>
      </c>
      <c r="T26" s="380" t="n">
        <v>2086</v>
      </c>
      <c r="U26" s="380" t="n">
        <v>1943</v>
      </c>
      <c r="V26" s="381" t="n">
        <v>2107</v>
      </c>
      <c r="W26" s="462"/>
      <c r="X26" s="462"/>
      <c r="Y26" s="462"/>
    </row>
    <row r="27" ht="15" customHeight="1" s="74">
      <c r="A27" s="17" t="inlineStr">
        <is>
          <t>Diluted EPS</t>
        </is>
      </c>
      <c r="B27" s="391" t="n">
        <v>-0.07000000000000001</v>
      </c>
      <c r="C27" s="391" t="n">
        <v>0.26</v>
      </c>
      <c r="D27" s="391" t="n">
        <v>0.17</v>
      </c>
      <c r="E27" s="391" t="n">
        <v>1.43</v>
      </c>
      <c r="F27" s="391" t="n">
        <v>0.15</v>
      </c>
      <c r="G27" s="391" t="n">
        <v>4.38</v>
      </c>
      <c r="H27" s="391" t="n">
        <v>1.48</v>
      </c>
      <c r="I27" s="391" t="n">
        <v>0.21</v>
      </c>
      <c r="J27" s="391" t="n">
        <v>4.2</v>
      </c>
      <c r="K27" s="391" t="n">
        <v>6.36</v>
      </c>
      <c r="L27" s="391" t="n">
        <v>7.8</v>
      </c>
      <c r="N27" s="392" t="n">
        <v>1.56</v>
      </c>
      <c r="O27" s="392" t="n">
        <v>1.47</v>
      </c>
      <c r="P27" s="392" t="n">
        <v>1.58</v>
      </c>
      <c r="Q27" s="392"/>
      <c r="R27" s="392" t="n">
        <v>1.59</v>
      </c>
      <c r="S27" s="392" t="n">
        <v>1.96</v>
      </c>
      <c r="T27" s="392" t="n">
        <v>2.19</v>
      </c>
      <c r="U27" s="392"/>
      <c r="V27" s="384" t="n">
        <v>2.42</v>
      </c>
      <c r="W27" s="462"/>
      <c r="X27" s="462"/>
      <c r="Y27" s="462"/>
    </row>
    <row r="28" ht="15" customHeight="1" s="74">
      <c r="A28" s="15" t="inlineStr">
        <is>
          <t>Diluted Shares Out. (M)</t>
        </is>
      </c>
      <c r="B28" s="393" t="n">
        <v>661.647</v>
      </c>
      <c r="C28" s="393" t="n">
        <v>700.217</v>
      </c>
      <c r="D28" s="393" t="n">
        <v>734.598</v>
      </c>
      <c r="E28" s="393" t="n">
        <v>775</v>
      </c>
      <c r="F28" s="393" t="n">
        <v>850</v>
      </c>
      <c r="G28" s="393" t="n">
        <v>930</v>
      </c>
      <c r="H28" s="393" t="n">
        <v>974</v>
      </c>
      <c r="I28" s="393" t="n">
        <v>997</v>
      </c>
      <c r="J28" s="393" t="n">
        <v>984</v>
      </c>
      <c r="K28" s="393" t="n">
        <v>974</v>
      </c>
      <c r="L28" s="393" t="n">
        <v>956</v>
      </c>
      <c r="M28" s="308" t="inlineStr">
        <is>
          <t>market-researcher | stockanalysis.com (https://stockanalysis.com/stocks/CRM/) | as-of: 2026-06-22</t>
        </is>
      </c>
      <c r="N28" s="394" t="n">
        <v>985</v>
      </c>
      <c r="O28" s="394" t="n">
        <v>973</v>
      </c>
      <c r="P28" s="394" t="n">
        <v>965</v>
      </c>
      <c r="Q28" s="394"/>
      <c r="R28" s="394" t="n">
        <v>970</v>
      </c>
      <c r="S28" s="394" t="n">
        <v>962</v>
      </c>
      <c r="T28" s="394" t="n">
        <v>952</v>
      </c>
      <c r="U28" s="394"/>
      <c r="V28" s="381" t="n">
        <v>871</v>
      </c>
      <c r="W28" s="462"/>
      <c r="X28" s="462"/>
      <c r="Y28" s="46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</row>
    <row r="30" ht="15" customHeight="1" s="74">
      <c r="A30" s="30" t="inlineStr">
        <is>
          <t>BALANCE SHEET ($M)</t>
        </is>
      </c>
    </row>
    <row r="31" ht="28" customHeight="1" s="74">
      <c r="A31" s="14"/>
      <c r="B31" s="14" t="inlineStr">
        <is>
          <t>2015</t>
        </is>
      </c>
      <c r="C31" s="14" t="inlineStr">
        <is>
          <t>2016</t>
        </is>
      </c>
      <c r="D31" s="14" t="inlineStr">
        <is>
          <t>2017</t>
        </is>
      </c>
      <c r="E31" s="14" t="inlineStr">
        <is>
          <t>2018</t>
        </is>
      </c>
      <c r="F31" s="14" t="inlineStr">
        <is>
          <t>2019</t>
        </is>
      </c>
      <c r="G31" s="14" t="inlineStr">
        <is>
          <t>2020</t>
        </is>
      </c>
      <c r="H31" s="14" t="inlineStr">
        <is>
          <t>2021</t>
        </is>
      </c>
      <c r="I31" s="14" t="inlineStr">
        <is>
          <t>2022</t>
        </is>
      </c>
      <c r="J31" s="14" t="inlineStr">
        <is>
          <t>2023</t>
        </is>
      </c>
      <c r="K31" s="14" t="inlineStr">
        <is>
          <t>2024</t>
        </is>
      </c>
      <c r="L31" s="14" t="inlineStr">
        <is>
          <t>2025</t>
        </is>
      </c>
      <c r="N31" s="14" t="inlineStr">
        <is>
          <t xml:space="preserve">Year -2
Q1</t>
        </is>
      </c>
      <c r="O31" s="14" t="inlineStr">
        <is>
          <t xml:space="preserve">Year -2
Q2</t>
        </is>
      </c>
      <c r="P31" s="14" t="inlineStr">
        <is>
          <t xml:space="preserve">Year -2
Q3</t>
        </is>
      </c>
      <c r="Q31" s="14" t="inlineStr">
        <is>
          <t xml:space="preserve">Year -2
Q4</t>
        </is>
      </c>
      <c r="R31" s="14" t="inlineStr">
        <is>
          <t xml:space="preserve">Year -1
Q1</t>
        </is>
      </c>
      <c r="S31" s="14" t="inlineStr">
        <is>
          <t xml:space="preserve">Year -1
Q2</t>
        </is>
      </c>
      <c r="T31" s="14" t="inlineStr">
        <is>
          <t xml:space="preserve">Year -1
Q3</t>
        </is>
      </c>
      <c r="U31" s="14" t="inlineStr">
        <is>
          <t xml:space="preserve">Year -1
Q4</t>
        </is>
      </c>
      <c r="V31" s="14" t="inlineStr">
        <is>
          <t xml:space="preserve">Current Year
Q1</t>
        </is>
      </c>
      <c r="W31" s="14" t="inlineStr">
        <is>
          <t xml:space="preserve">Current Year
Q2</t>
        </is>
      </c>
      <c r="X31" s="14" t="inlineStr">
        <is>
          <t xml:space="preserve">Current Year
Q3</t>
        </is>
      </c>
      <c r="Y31" s="14" t="inlineStr">
        <is>
          <t xml:space="preserve">Current Year
Q4</t>
        </is>
      </c>
      <c r="Z31" s="435"/>
      <c r="AA31" s="435"/>
      <c r="AB31" s="435"/>
      <c r="AC31" s="435"/>
    </row>
    <row r="32" ht="15" customHeight="1" s="74">
      <c r="A32" s="15" t="inlineStr">
        <is>
          <t>Total Cash &amp; Equivalents</t>
        </is>
      </c>
      <c r="B32" s="379" t="n">
        <v>1158.363</v>
      </c>
      <c r="C32" s="379" t="n">
        <v>1606.549</v>
      </c>
      <c r="D32" s="379" t="n">
        <v>2543.484</v>
      </c>
      <c r="E32" s="379" t="n">
        <v>4342</v>
      </c>
      <c r="F32" s="379" t="n">
        <v>7947</v>
      </c>
      <c r="G32" s="379" t="n">
        <v>11966</v>
      </c>
      <c r="H32" s="379" t="n">
        <v>10537</v>
      </c>
      <c r="I32" s="379" t="n">
        <v>12508</v>
      </c>
      <c r="J32" s="379" t="n">
        <v>14194</v>
      </c>
      <c r="K32" s="379" t="n">
        <v>14032</v>
      </c>
      <c r="L32" s="379" t="n">
        <v>9565</v>
      </c>
      <c r="N32" s="380" t="n">
        <v>17670</v>
      </c>
      <c r="O32" s="380" t="n">
        <v>12636</v>
      </c>
      <c r="P32" s="380" t="n">
        <v>12757</v>
      </c>
      <c r="Q32" s="380" t="n">
        <v>14032</v>
      </c>
      <c r="R32" s="380" t="n">
        <v>17408</v>
      </c>
      <c r="S32" s="380" t="n">
        <v>15372</v>
      </c>
      <c r="T32" s="380" t="n">
        <v>11323</v>
      </c>
      <c r="U32" s="380" t="n">
        <v>9565</v>
      </c>
      <c r="V32" s="381" t="n">
        <v>11837</v>
      </c>
      <c r="W32" s="462"/>
      <c r="X32" s="462"/>
      <c r="Y32" s="462"/>
    </row>
    <row r="33" ht="15" customHeight="1" s="74">
      <c r="A33" s="17" t="inlineStr">
        <is>
          <t>Short-term Debt</t>
        </is>
      </c>
      <c r="B33" s="382"/>
      <c r="C33" s="382" t="n">
        <v>0</v>
      </c>
      <c r="D33" s="382" t="n">
        <v>1024.717</v>
      </c>
      <c r="E33" s="382" t="n">
        <v>3</v>
      </c>
      <c r="F33" s="382" t="n">
        <v>4</v>
      </c>
      <c r="G33" s="382" t="n">
        <v>4</v>
      </c>
      <c r="H33" s="382" t="n">
        <v>4</v>
      </c>
      <c r="I33" s="382" t="n">
        <v>1182</v>
      </c>
      <c r="J33" s="382" t="n">
        <v>999</v>
      </c>
      <c r="K33" s="382" t="n">
        <v>0</v>
      </c>
      <c r="L33" s="382" t="n">
        <v>4000</v>
      </c>
      <c r="N33" s="383" t="n">
        <v>1000</v>
      </c>
      <c r="O33" s="383" t="n">
        <v>0</v>
      </c>
      <c r="P33" s="383" t="n">
        <v>0</v>
      </c>
      <c r="Q33" s="383" t="n">
        <v>0</v>
      </c>
      <c r="R33" s="383" t="n">
        <v>0</v>
      </c>
      <c r="S33" s="383" t="n">
        <v>0</v>
      </c>
      <c r="T33" s="383"/>
      <c r="U33" s="383" t="n">
        <v>4000</v>
      </c>
      <c r="V33" s="384" t="n">
        <v>0</v>
      </c>
      <c r="W33" s="462"/>
      <c r="X33" s="462"/>
      <c r="Y33" s="462"/>
    </row>
    <row r="34" ht="15" customHeight="1" s="74">
      <c r="A34" s="15" t="inlineStr">
        <is>
          <t>Long-term Debt</t>
        </is>
      </c>
      <c r="B34" s="379"/>
      <c r="C34" s="379" t="n">
        <v>2008.391</v>
      </c>
      <c r="D34" s="379" t="n">
        <v>694.7809999999999</v>
      </c>
      <c r="E34" s="379" t="n">
        <v>3173</v>
      </c>
      <c r="F34" s="379" t="n">
        <v>2673</v>
      </c>
      <c r="G34" s="379" t="n">
        <v>2673</v>
      </c>
      <c r="H34" s="379" t="n">
        <v>10592</v>
      </c>
      <c r="I34" s="379" t="n">
        <v>9419</v>
      </c>
      <c r="J34" s="379" t="n">
        <v>8427</v>
      </c>
      <c r="K34" s="379" t="n">
        <v>8433</v>
      </c>
      <c r="L34" s="379" t="n">
        <v>10439</v>
      </c>
      <c r="N34" s="380" t="n">
        <v>8429</v>
      </c>
      <c r="O34" s="380" t="n">
        <v>8430</v>
      </c>
      <c r="P34" s="380" t="n">
        <v>8432</v>
      </c>
      <c r="Q34" s="380" t="n">
        <v>8433</v>
      </c>
      <c r="R34" s="380" t="n">
        <v>8435</v>
      </c>
      <c r="S34" s="380" t="n">
        <v>8436</v>
      </c>
      <c r="T34" s="380" t="n">
        <v>8438</v>
      </c>
      <c r="U34" s="380" t="n">
        <v>10439</v>
      </c>
      <c r="V34" s="381" t="n">
        <v>39280</v>
      </c>
      <c r="W34" s="462"/>
      <c r="X34" s="462"/>
      <c r="Y34" s="462"/>
    </row>
    <row r="35" ht="15" customHeight="1" s="74">
      <c r="A35" s="17" t="inlineStr">
        <is>
          <t>Total Debt</t>
        </is>
      </c>
      <c r="B35" s="385">
        <f>IF(AND(NOT(ISNUMBER(Data!B33)),NOT(ISNUMBER(Data!B34))),"-",Data!B33+Data!B34)</f>
      </c>
      <c r="C35" s="385">
        <f>IF(AND(NOT(ISNUMBER(Data!C33)),NOT(ISNUMBER(Data!C34))),"-",Data!C33+Data!C34)</f>
        <v>2008.391</v>
      </c>
      <c r="D35" s="385">
        <f>IF(AND(NOT(ISNUMBER(Data!D33)),NOT(ISNUMBER(Data!D34))),"-",Data!D33+Data!D34)</f>
        <v>1719.498</v>
      </c>
      <c r="E35" s="385">
        <f>IF(AND(NOT(ISNUMBER(Data!E33)),NOT(ISNUMBER(Data!E34))),"-",Data!E33+Data!E34)</f>
        <v>3176.0</v>
      </c>
      <c r="F35" s="385">
        <f>IF(AND(NOT(ISNUMBER(Data!F33)),NOT(ISNUMBER(Data!F34))),"-",Data!F33+Data!F34)</f>
        <v>2677.0</v>
      </c>
      <c r="G35" s="385">
        <f>IF(AND(NOT(ISNUMBER(Data!G33)),NOT(ISNUMBER(Data!G34))),"-",Data!G33+Data!G34)</f>
        <v>2677.0</v>
      </c>
      <c r="H35" s="385">
        <f>IF(AND(NOT(ISNUMBER(Data!H33)),NOT(ISNUMBER(Data!H34))),"-",Data!H33+Data!H34)</f>
        <v>10596.0</v>
      </c>
      <c r="I35" s="385">
        <f>IF(AND(NOT(ISNUMBER(Data!I33)),NOT(ISNUMBER(Data!I34))),"-",Data!I33+Data!I34)</f>
        <v>10601.0</v>
      </c>
      <c r="J35" s="385">
        <f>IF(AND(NOT(ISNUMBER(Data!J33)),NOT(ISNUMBER(Data!J34))),"-",Data!J33+Data!J34)</f>
        <v>9426.0</v>
      </c>
      <c r="K35" s="385">
        <f>IF(AND(NOT(ISNUMBER(Data!K33)),NOT(ISNUMBER(Data!K34))),"-",Data!K33+Data!K34)</f>
        <v>8433.0</v>
      </c>
      <c r="L35" s="385">
        <f>IF(AND(NOT(ISNUMBER(Data!L33)),NOT(ISNUMBER(Data!L34))),"-",Data!L33+Data!L34)</f>
        <v>14439.0</v>
      </c>
      <c r="N35" s="386">
        <f>IF(AND(NOT(ISNUMBER(Data!N33)),NOT(ISNUMBER(Data!N34))),"-",Data!N33+Data!N34)</f>
        <v>9429.0</v>
      </c>
      <c r="O35" s="386">
        <f>IF(AND(NOT(ISNUMBER(Data!O33)),NOT(ISNUMBER(Data!O34))),"-",Data!O33+Data!O34)</f>
        <v>8430.0</v>
      </c>
      <c r="P35" s="386">
        <f>IF(AND(NOT(ISNUMBER(Data!P33)),NOT(ISNUMBER(Data!P34))),"-",Data!P33+Data!P34)</f>
        <v>8432.0</v>
      </c>
      <c r="Q35" s="386">
        <f>IF(AND(NOT(ISNUMBER(Data!Q33)),NOT(ISNUMBER(Data!Q34))),"-",Data!Q33+Data!Q34)</f>
        <v>8433.0</v>
      </c>
      <c r="R35" s="386">
        <f>IF(AND(NOT(ISNUMBER(Data!R33)),NOT(ISNUMBER(Data!R34))),"-",Data!R33+Data!R34)</f>
        <v>8435.0</v>
      </c>
      <c r="S35" s="386">
        <f>IF(AND(NOT(ISNUMBER(Data!S33)),NOT(ISNUMBER(Data!S34))),"-",Data!S33+Data!S34)</f>
        <v>8436.0</v>
      </c>
      <c r="T35" s="386">
        <f>IF(AND(NOT(ISNUMBER(Data!T33)),NOT(ISNUMBER(Data!T34))),"-",Data!T33+Data!T34)</f>
        <v>8438.0</v>
      </c>
      <c r="U35" s="386">
        <f>IF(AND(NOT(ISNUMBER(Data!U33)),NOT(ISNUMBER(Data!U34))),"-",Data!U33+Data!U34)</f>
        <v>14439.0</v>
      </c>
      <c r="V35" s="387">
        <f>IF(AND(NOT(ISNUMBER(Data!V33)),NOT(ISNUMBER(Data!V34))),"-",Data!V33+Data!V34)</f>
        <v>39280.0</v>
      </c>
      <c r="W35" s="463">
        <f>IF(AND(NOT(ISNUMBER(Data!W33)),NOT(ISNUMBER(Data!W34))),"-",Data!W33+Data!W34)</f>
      </c>
      <c r="X35" s="463">
        <f>IF(AND(NOT(ISNUMBER(Data!X33)),NOT(ISNUMBER(Data!X34))),"-",Data!X33+Data!X34)</f>
      </c>
      <c r="Y35" s="463">
        <f>IF(AND(NOT(ISNUMBER(Data!Y33)),NOT(ISNUMBER(Data!Y34))),"-",Data!Y33+Data!Y34)</f>
      </c>
    </row>
    <row r="36" ht="15" customHeight="1" s="74">
      <c r="A36" s="15" t="inlineStr">
        <is>
          <t>Net Debt</t>
        </is>
      </c>
      <c r="B36" s="385">
        <f>IFERROR(IF(OR(NOT(ISNUMBER(Data!B35)),NOT(ISNUMBER(Data!B32))),"-",Data!B35-Data!B32),"-")</f>
      </c>
      <c r="C36" s="385">
        <f>IFERROR(IF(OR(NOT(ISNUMBER(Data!C35)),NOT(ISNUMBER(Data!C32))),"-",Data!C35-Data!C32),"-")</f>
        <v>401.8420000000001</v>
      </c>
      <c r="D36" s="385">
        <f>IFERROR(IF(OR(NOT(ISNUMBER(Data!D35)),NOT(ISNUMBER(Data!D32))),"-",Data!D35-Data!D32),"-")</f>
        <v>-823.9859999999999</v>
      </c>
      <c r="E36" s="385">
        <f>IFERROR(IF(OR(NOT(ISNUMBER(Data!E35)),NOT(ISNUMBER(Data!E32))),"-",Data!E35-Data!E32),"-")</f>
        <v>-1166.0</v>
      </c>
      <c r="F36" s="385">
        <f>IFERROR(IF(OR(NOT(ISNUMBER(Data!F35)),NOT(ISNUMBER(Data!F32))),"-",Data!F35-Data!F32),"-")</f>
        <v>-5270.0</v>
      </c>
      <c r="G36" s="385">
        <f>IFERROR(IF(OR(NOT(ISNUMBER(Data!G35)),NOT(ISNUMBER(Data!G32))),"-",Data!G35-Data!G32),"-")</f>
        <v>-9289.0</v>
      </c>
      <c r="H36" s="385">
        <f>IFERROR(IF(OR(NOT(ISNUMBER(Data!H35)),NOT(ISNUMBER(Data!H32))),"-",Data!H35-Data!H32),"-")</f>
        <v>59.0</v>
      </c>
      <c r="I36" s="385">
        <f>IFERROR(IF(OR(NOT(ISNUMBER(Data!I35)),NOT(ISNUMBER(Data!I32))),"-",Data!I35-Data!I32),"-")</f>
        <v>-1907.0</v>
      </c>
      <c r="J36" s="385">
        <f>IFERROR(IF(OR(NOT(ISNUMBER(Data!J35)),NOT(ISNUMBER(Data!J32))),"-",Data!J35-Data!J32),"-")</f>
        <v>-4768.0</v>
      </c>
      <c r="K36" s="385">
        <f>IFERROR(IF(OR(NOT(ISNUMBER(Data!K35)),NOT(ISNUMBER(Data!K32))),"-",Data!K35-Data!K32),"-")</f>
        <v>-5599.0</v>
      </c>
      <c r="L36" s="385">
        <f>IFERROR(IF(OR(NOT(ISNUMBER(Data!L35)),NOT(ISNUMBER(Data!L32))),"-",Data!L35-Data!L32),"-")</f>
        <v>4874.0</v>
      </c>
      <c r="N36" s="386">
        <f>IFERROR(IF(OR(NOT(ISNUMBER(Data!N35)),NOT(ISNUMBER(Data!N32))),"-",Data!N35-Data!N32),"-")</f>
        <v>-8241.0</v>
      </c>
      <c r="O36" s="386">
        <f>IFERROR(IF(OR(NOT(ISNUMBER(Data!O35)),NOT(ISNUMBER(Data!O32))),"-",Data!O35-Data!O32),"-")</f>
        <v>-4206.0</v>
      </c>
      <c r="P36" s="386">
        <f>IFERROR(IF(OR(NOT(ISNUMBER(Data!P35)),NOT(ISNUMBER(Data!P32))),"-",Data!P35-Data!P32),"-")</f>
        <v>-4325.0</v>
      </c>
      <c r="Q36" s="386">
        <f>IFERROR(IF(OR(NOT(ISNUMBER(Data!Q35)),NOT(ISNUMBER(Data!Q32))),"-",Data!Q35-Data!Q32),"-")</f>
        <v>-5599.0</v>
      </c>
      <c r="R36" s="386">
        <f>IFERROR(IF(OR(NOT(ISNUMBER(Data!R35)),NOT(ISNUMBER(Data!R32))),"-",Data!R35-Data!R32),"-")</f>
        <v>-8973.0</v>
      </c>
      <c r="S36" s="386">
        <f>IFERROR(IF(OR(NOT(ISNUMBER(Data!S35)),NOT(ISNUMBER(Data!S32))),"-",Data!S35-Data!S32),"-")</f>
        <v>-6936.0</v>
      </c>
      <c r="T36" s="386">
        <f>IFERROR(IF(OR(NOT(ISNUMBER(Data!T35)),NOT(ISNUMBER(Data!T32))),"-",Data!T35-Data!T32),"-")</f>
        <v>-2885.0</v>
      </c>
      <c r="U36" s="386">
        <f>IFERROR(IF(OR(NOT(ISNUMBER(Data!U35)),NOT(ISNUMBER(Data!U32))),"-",Data!U35-Data!U32),"-")</f>
        <v>4874.0</v>
      </c>
      <c r="V36" s="387">
        <f>IFERROR(IF(OR(NOT(ISNUMBER(Data!V35)),NOT(ISNUMBER(Data!V32))),"-",Data!V35-Data!V32),"-")</f>
        <v>27443.0</v>
      </c>
      <c r="W36" s="463">
        <f>IFERROR(IF(OR(NOT(ISNUMBER(Data!W35)),NOT(ISNUMBER(Data!W32))),"-",Data!W35-Data!W32),"-")</f>
      </c>
      <c r="X36" s="463">
        <f>IFERROR(IF(OR(NOT(ISNUMBER(Data!X35)),NOT(ISNUMBER(Data!X32))),"-",Data!X35-Data!X32),"-")</f>
      </c>
      <c r="Y36" s="463">
        <f>IFERROR(IF(OR(NOT(ISNUMBER(Data!Y35)),NOT(ISNUMBER(Data!Y32))),"-",Data!Y35-Data!Y32),"-")</f>
      </c>
    </row>
    <row r="37" ht="15" customHeight="1" s="74">
      <c r="A37" s="17" t="inlineStr">
        <is>
          <t>Total Current Assets</t>
        </is>
      </c>
      <c r="B37" s="382"/>
      <c r="C37" s="382" t="n">
        <v>5996.827</v>
      </c>
      <c r="D37" s="382" t="n">
        <v>9290.370999999999</v>
      </c>
      <c r="E37" s="382" t="n">
        <v>10683</v>
      </c>
      <c r="F37" s="382" t="n">
        <v>15963</v>
      </c>
      <c r="G37" s="382" t="n">
        <v>21889</v>
      </c>
      <c r="H37" s="382" t="n">
        <v>22850</v>
      </c>
      <c r="I37" s="382" t="n">
        <v>26395</v>
      </c>
      <c r="J37" s="382" t="n">
        <v>29074</v>
      </c>
      <c r="K37" s="382" t="n">
        <v>29727</v>
      </c>
      <c r="L37" s="382" t="n">
        <v>28222</v>
      </c>
      <c r="N37" s="383" t="n">
        <v>25604</v>
      </c>
      <c r="O37" s="383" t="n">
        <v>21862</v>
      </c>
      <c r="P37" s="383" t="n">
        <v>21425</v>
      </c>
      <c r="Q37" s="383" t="n">
        <v>29727</v>
      </c>
      <c r="R37" s="383" t="n">
        <v>25866</v>
      </c>
      <c r="S37" s="383" t="n">
        <v>25331</v>
      </c>
      <c r="T37" s="383" t="n">
        <v>21063</v>
      </c>
      <c r="U37" s="383" t="n">
        <v>28222</v>
      </c>
      <c r="V37" s="384" t="n">
        <v>21613</v>
      </c>
      <c r="W37" s="462"/>
      <c r="X37" s="462"/>
      <c r="Y37" s="462"/>
    </row>
    <row r="38" ht="15" customHeight="1" s="74">
      <c r="A38" s="15" t="inlineStr">
        <is>
          <t>Total Current Liabilities</t>
        </is>
      </c>
      <c r="B38" s="379"/>
      <c r="C38" s="379" t="n">
        <v>7295.466</v>
      </c>
      <c r="D38" s="379" t="n">
        <v>10129.518</v>
      </c>
      <c r="E38" s="379" t="n">
        <v>11255</v>
      </c>
      <c r="F38" s="379" t="n">
        <v>14845</v>
      </c>
      <c r="G38" s="379" t="n">
        <v>17728</v>
      </c>
      <c r="H38" s="379" t="n">
        <v>21788</v>
      </c>
      <c r="I38" s="379" t="n">
        <v>25891</v>
      </c>
      <c r="J38" s="379" t="n">
        <v>26631</v>
      </c>
      <c r="K38" s="379" t="n">
        <v>27980</v>
      </c>
      <c r="L38" s="379" t="n">
        <v>37118</v>
      </c>
      <c r="N38" s="380" t="n">
        <v>23149</v>
      </c>
      <c r="O38" s="380" t="n">
        <v>21001</v>
      </c>
      <c r="P38" s="380" t="n">
        <v>19375</v>
      </c>
      <c r="Q38" s="380" t="n">
        <v>27980</v>
      </c>
      <c r="R38" s="380" t="n">
        <v>24196</v>
      </c>
      <c r="S38" s="380" t="n">
        <v>22532</v>
      </c>
      <c r="T38" s="380" t="n">
        <v>21410</v>
      </c>
      <c r="U38" s="380" t="n">
        <v>37118</v>
      </c>
      <c r="V38" s="381" t="n">
        <v>27502</v>
      </c>
      <c r="W38" s="462"/>
      <c r="X38" s="462"/>
      <c r="Y38" s="462"/>
    </row>
    <row r="39" ht="15" customHeight="1" s="74">
      <c r="A39" s="17" t="inlineStr">
        <is>
          <t>Total Assets</t>
        </is>
      </c>
      <c r="B39" s="382"/>
      <c r="C39" s="382" t="n">
        <v>17584.923</v>
      </c>
      <c r="D39" s="382" t="n">
        <v>21009.802</v>
      </c>
      <c r="E39" s="382" t="n">
        <v>30737</v>
      </c>
      <c r="F39" s="382" t="n">
        <v>55126</v>
      </c>
      <c r="G39" s="382" t="n">
        <v>66301</v>
      </c>
      <c r="H39" s="382" t="n">
        <v>95209</v>
      </c>
      <c r="I39" s="382" t="n">
        <v>98849</v>
      </c>
      <c r="J39" s="382" t="n">
        <v>99823</v>
      </c>
      <c r="K39" s="382" t="n">
        <v>102928</v>
      </c>
      <c r="L39" s="382" t="n">
        <v>112305</v>
      </c>
      <c r="N39" s="383" t="n">
        <v>96180</v>
      </c>
      <c r="O39" s="383" t="n">
        <v>92180</v>
      </c>
      <c r="P39" s="383" t="n">
        <v>91395</v>
      </c>
      <c r="Q39" s="383" t="n">
        <v>102928</v>
      </c>
      <c r="R39" s="383" t="n">
        <v>98610</v>
      </c>
      <c r="S39" s="383" t="n">
        <v>97573</v>
      </c>
      <c r="T39" s="383" t="n">
        <v>95144</v>
      </c>
      <c r="U39" s="383" t="n">
        <v>112305</v>
      </c>
      <c r="V39" s="384" t="n">
        <v>106680</v>
      </c>
      <c r="W39" s="462"/>
      <c r="X39" s="462"/>
      <c r="Y39" s="462"/>
    </row>
    <row r="40" ht="15" customHeight="1" s="74">
      <c r="A40" s="15" t="inlineStr">
        <is>
          <t>Total Liabilities</t>
        </is>
      </c>
      <c r="B40" s="388"/>
      <c r="C40" s="388" t="n">
        <v>10084.796</v>
      </c>
      <c r="D40" s="388" t="n">
        <v>11617.439</v>
      </c>
      <c r="E40" s="388" t="n">
        <v>15132</v>
      </c>
      <c r="F40" s="388" t="n">
        <v>21241</v>
      </c>
      <c r="G40" s="388" t="n">
        <v>24808</v>
      </c>
      <c r="H40" s="388" t="n">
        <v>37078</v>
      </c>
      <c r="I40" s="388" t="n">
        <v>40490</v>
      </c>
      <c r="J40" s="388" t="n">
        <v>40177</v>
      </c>
      <c r="K40" s="388" t="n">
        <v>41755</v>
      </c>
      <c r="L40" s="388" t="n">
        <v>53163</v>
      </c>
      <c r="N40" s="389" t="n">
        <v>36497</v>
      </c>
      <c r="O40" s="389" t="n">
        <v>34547</v>
      </c>
      <c r="P40" s="389" t="n">
        <v>32870</v>
      </c>
      <c r="Q40" s="389" t="n">
        <v>41755</v>
      </c>
      <c r="R40" s="389" t="n">
        <v>37944</v>
      </c>
      <c r="S40" s="389" t="n">
        <v>36245</v>
      </c>
      <c r="T40" s="389" t="n">
        <v>35123</v>
      </c>
      <c r="U40" s="389" t="n">
        <v>53163</v>
      </c>
      <c r="V40" s="390" t="n">
        <v>72445</v>
      </c>
      <c r="W40" s="462"/>
      <c r="X40" s="462"/>
      <c r="Y40" s="462"/>
    </row>
    <row r="41" ht="15" customHeight="1" s="74">
      <c r="A41" s="17" t="inlineStr">
        <is>
          <t>Shareholders' Equity</t>
        </is>
      </c>
      <c r="B41" s="382" t="n">
        <v>5002.869</v>
      </c>
      <c r="C41" s="382" t="n">
        <v>7500.127</v>
      </c>
      <c r="D41" s="382" t="n">
        <v>9388.495999999999</v>
      </c>
      <c r="E41" s="382" t="n">
        <v>15605</v>
      </c>
      <c r="F41" s="382" t="n">
        <v>33885</v>
      </c>
      <c r="G41" s="382" t="n">
        <v>41493</v>
      </c>
      <c r="H41" s="382" t="n">
        <v>58131</v>
      </c>
      <c r="I41" s="382" t="n">
        <v>58359</v>
      </c>
      <c r="J41" s="382" t="n">
        <v>59646</v>
      </c>
      <c r="K41" s="382" t="n">
        <v>61173</v>
      </c>
      <c r="L41" s="382" t="n">
        <v>59142</v>
      </c>
      <c r="N41" s="383" t="n">
        <v>59683</v>
      </c>
      <c r="O41" s="383" t="n">
        <v>57633</v>
      </c>
      <c r="P41" s="383" t="n">
        <v>58525</v>
      </c>
      <c r="Q41" s="383" t="n">
        <v>61173</v>
      </c>
      <c r="R41" s="383" t="n">
        <v>60666</v>
      </c>
      <c r="S41" s="383" t="n">
        <v>61328</v>
      </c>
      <c r="T41" s="383" t="n">
        <v>60021</v>
      </c>
      <c r="U41" s="383" t="n">
        <v>59142</v>
      </c>
      <c r="V41" s="384" t="n">
        <v>34235</v>
      </c>
      <c r="W41" s="462"/>
      <c r="X41" s="462"/>
      <c r="Y41" s="462"/>
    </row>
    <row r="42" ht="15" customHeight="1" s="74">
      <c r="A42" s="15" t="inlineStr">
        <is>
          <t>Minority Interest</t>
        </is>
      </c>
      <c r="B42" s="379"/>
      <c r="C42" s="379"/>
      <c r="D42" s="379"/>
      <c r="E42" s="379"/>
      <c r="F42" s="379"/>
      <c r="G42" s="379"/>
      <c r="H42" s="379"/>
      <c r="I42" s="379"/>
      <c r="J42" s="379"/>
      <c r="K42" s="379"/>
      <c r="L42" s="379"/>
      <c r="N42" s="380"/>
      <c r="O42" s="380"/>
      <c r="P42" s="380"/>
      <c r="Q42" s="380"/>
      <c r="R42" s="380"/>
      <c r="S42" s="380"/>
      <c r="T42" s="380"/>
      <c r="U42" s="380"/>
      <c r="V42" s="381"/>
      <c r="W42" s="462"/>
      <c r="X42" s="462"/>
      <c r="Y42" s="462"/>
    </row>
    <row r="43" ht="15" customHeight="1" s="74">
      <c r="A43" s="17" t="inlineStr">
        <is>
          <t>Intangible Assets &amp; Goodwill</t>
        </is>
      </c>
      <c r="B43" s="382"/>
      <c r="C43" s="382" t="n">
        <v>7263.846</v>
      </c>
      <c r="D43" s="382" t="n">
        <v>7314.096</v>
      </c>
      <c r="E43" s="382" t="n">
        <v>12851</v>
      </c>
      <c r="F43" s="382" t="n">
        <v>25134</v>
      </c>
      <c r="G43" s="382" t="n">
        <v>26318</v>
      </c>
      <c r="H43" s="382" t="n">
        <v>47937</v>
      </c>
      <c r="I43" s="382" t="n">
        <v>48568</v>
      </c>
      <c r="J43" s="382" t="n">
        <v>48620</v>
      </c>
      <c r="K43" s="382" t="n">
        <v>51283</v>
      </c>
      <c r="L43" s="382" t="n">
        <v>57941</v>
      </c>
      <c r="N43" s="383" t="n">
        <v>48940</v>
      </c>
      <c r="O43" s="383" t="n">
        <v>48941</v>
      </c>
      <c r="P43" s="383" t="n">
        <v>49093</v>
      </c>
      <c r="Q43" s="383" t="n">
        <v>51283</v>
      </c>
      <c r="R43" s="383" t="n">
        <v>51281</v>
      </c>
      <c r="S43" s="383" t="n">
        <v>51438</v>
      </c>
      <c r="T43" s="383" t="n">
        <v>52457</v>
      </c>
      <c r="U43" s="383" t="n">
        <v>57941</v>
      </c>
      <c r="V43" s="384" t="n">
        <v>59291</v>
      </c>
      <c r="W43" s="462"/>
      <c r="X43" s="462"/>
      <c r="Y43" s="462"/>
    </row>
    <row r="44" ht="15" customHeight="1" s="74">
      <c r="A44" s="15" t="inlineStr">
        <is>
          <t>PP&amp;E</t>
        </is>
      </c>
      <c r="B44" s="379"/>
      <c r="C44" s="379" t="n">
        <v>1787.534</v>
      </c>
      <c r="D44" s="379" t="n">
        <v>1946.527</v>
      </c>
      <c r="E44" s="379" t="n">
        <v>2051</v>
      </c>
      <c r="F44" s="379" t="n">
        <v>2375</v>
      </c>
      <c r="G44" s="379" t="n">
        <v>2459</v>
      </c>
      <c r="H44" s="379" t="n">
        <v>2815</v>
      </c>
      <c r="I44" s="379" t="n">
        <v>3702</v>
      </c>
      <c r="J44" s="379" t="n">
        <v>3689</v>
      </c>
      <c r="K44" s="379" t="n">
        <v>3236</v>
      </c>
      <c r="L44" s="379" t="n">
        <v>3120</v>
      </c>
      <c r="N44" s="380" t="n">
        <v>3506</v>
      </c>
      <c r="O44" s="380" t="n">
        <v>3580</v>
      </c>
      <c r="P44" s="380" t="n">
        <v>3416</v>
      </c>
      <c r="Q44" s="380" t="n">
        <v>3236</v>
      </c>
      <c r="R44" s="380" t="n">
        <v>3131</v>
      </c>
      <c r="S44" s="380" t="n">
        <v>3154</v>
      </c>
      <c r="T44" s="380" t="n">
        <v>3147</v>
      </c>
      <c r="U44" s="380" t="n">
        <v>3120</v>
      </c>
      <c r="V44" s="381" t="n">
        <v>3150</v>
      </c>
      <c r="W44" s="381"/>
      <c r="X44" s="381"/>
      <c r="Y44" s="381"/>
    </row>
    <row r="45" ht="15" customHeight="1" s="74">
      <c r="A45" s="17" t="inlineStr">
        <is>
          <t>Receivables</t>
        </is>
      </c>
      <c r="B45" s="382"/>
      <c r="C45" s="382" t="n">
        <v>3196.643</v>
      </c>
      <c r="D45" s="382" t="n">
        <v>3917.401</v>
      </c>
      <c r="E45" s="382" t="n">
        <v>4924</v>
      </c>
      <c r="F45" s="382" t="n">
        <v>6174</v>
      </c>
      <c r="G45" s="382" t="n">
        <v>7786</v>
      </c>
      <c r="H45" s="382" t="n">
        <v>9739</v>
      </c>
      <c r="I45" s="382" t="n">
        <v>10755</v>
      </c>
      <c r="J45" s="382" t="n">
        <v>11414</v>
      </c>
      <c r="K45" s="382" t="n">
        <v>11945</v>
      </c>
      <c r="L45" s="382" t="n">
        <v>14339</v>
      </c>
      <c r="N45" s="383" t="n">
        <v>4273</v>
      </c>
      <c r="O45" s="383" t="n">
        <v>5391</v>
      </c>
      <c r="P45" s="383" t="n">
        <v>4741</v>
      </c>
      <c r="Q45" s="383" t="n">
        <v>11945</v>
      </c>
      <c r="R45" s="383" t="n">
        <v>4354</v>
      </c>
      <c r="S45" s="383" t="n">
        <v>5596</v>
      </c>
      <c r="T45" s="383" t="n">
        <v>5474</v>
      </c>
      <c r="U45" s="383" t="n">
        <v>14339</v>
      </c>
      <c r="V45" s="384" t="n">
        <v>5080</v>
      </c>
      <c r="W45" s="462"/>
      <c r="X45" s="462"/>
      <c r="Y45" s="462"/>
    </row>
    <row r="46" ht="15" customHeight="1" s="74">
      <c r="A46" s="15" t="inlineStr">
        <is>
          <t>Payables</t>
        </is>
      </c>
      <c r="B46" s="379"/>
      <c r="C46" s="379" t="n">
        <v>1752.664</v>
      </c>
      <c r="D46" s="379" t="n">
        <v>2010.096</v>
      </c>
      <c r="E46" s="379" t="n">
        <v>165</v>
      </c>
      <c r="F46" s="379" t="n">
        <v>3433</v>
      </c>
      <c r="G46" s="379" t="n">
        <v>4355</v>
      </c>
      <c r="H46" s="379" t="n">
        <v>5474</v>
      </c>
      <c r="I46" s="379" t="n">
        <v>6743</v>
      </c>
      <c r="J46" s="379" t="n">
        <v>6111</v>
      </c>
      <c r="K46" s="379" t="n">
        <v>6658</v>
      </c>
      <c r="L46" s="379" t="n">
        <v>8253</v>
      </c>
      <c r="N46" s="380" t="n">
        <v>5520</v>
      </c>
      <c r="O46" s="380" t="n">
        <v>5220</v>
      </c>
      <c r="P46" s="380" t="n">
        <v>5331</v>
      </c>
      <c r="Q46" s="380" t="n">
        <v>6658</v>
      </c>
      <c r="R46" s="380" t="n">
        <v>5804</v>
      </c>
      <c r="S46" s="380" t="n">
        <v>5397</v>
      </c>
      <c r="T46" s="380" t="n">
        <v>5850</v>
      </c>
      <c r="U46" s="380" t="n">
        <v>8253</v>
      </c>
      <c r="V46" s="381" t="n">
        <v>6582</v>
      </c>
      <c r="W46" s="462"/>
      <c r="X46" s="462"/>
      <c r="Y46" s="462"/>
    </row>
    <row r="47" ht="15" customHeight="1" s="74">
      <c r="A47" s="17" t="inlineStr">
        <is>
          <t>Inventory</t>
        </is>
      </c>
      <c r="B47" s="382"/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N47" s="383"/>
      <c r="O47" s="383"/>
      <c r="P47" s="383"/>
      <c r="Q47" s="383"/>
      <c r="R47" s="383"/>
      <c r="S47" s="383"/>
      <c r="T47" s="383"/>
      <c r="U47" s="383"/>
      <c r="V47" s="384"/>
      <c r="W47" s="462"/>
      <c r="X47" s="462"/>
      <c r="Y47" s="462"/>
    </row>
    <row r="48" ht="15" customHeight="1" s="74">
      <c r="A48" s="10" t="inlineStr">
        <is>
          <t>Retained Earnings</t>
        </is>
      </c>
      <c r="B48" s="432" t="n">
        <v>-653.271</v>
      </c>
      <c r="C48" s="432" t="n">
        <v>-464.91</v>
      </c>
      <c r="D48" s="432" t="n">
        <v>-337.432</v>
      </c>
      <c r="E48" s="432" t="n">
        <v>1735</v>
      </c>
      <c r="F48" s="432" t="n">
        <v>1861</v>
      </c>
      <c r="G48" s="432" t="n">
        <v>5933</v>
      </c>
      <c r="H48" s="432" t="n">
        <v>7377</v>
      </c>
      <c r="I48" s="432" t="n">
        <v>7585</v>
      </c>
      <c r="J48" s="432" t="n">
        <v>11721</v>
      </c>
      <c r="K48" s="432" t="n">
        <v>16369</v>
      </c>
      <c r="L48" s="432" t="n">
        <v>22221</v>
      </c>
      <c r="N48" s="433" t="n">
        <v>12866</v>
      </c>
      <c r="O48" s="433" t="n">
        <v>13907</v>
      </c>
      <c r="P48" s="433" t="n">
        <v>15049</v>
      </c>
      <c r="Q48" s="433" t="n">
        <v>16369</v>
      </c>
      <c r="R48" s="433" t="n">
        <v>17504</v>
      </c>
      <c r="S48" s="433" t="n">
        <v>18987</v>
      </c>
      <c r="T48" s="433" t="n">
        <v>20673</v>
      </c>
      <c r="U48" s="433" t="n">
        <v>22221</v>
      </c>
      <c r="V48" s="433" t="n">
        <v>23954</v>
      </c>
      <c r="W48" s="465"/>
      <c r="X48" s="465"/>
      <c r="Y48" s="465"/>
    </row>
    <row r="49" ht="15" customHeight="1" s="74">
      <c r="A49" s="30" t="inlineStr">
        <is>
          <t>CASH FLOW STATEMENT ($M)</t>
        </is>
      </c>
    </row>
    <row r="50" ht="28" customHeight="1" s="74">
      <c r="A50" s="14"/>
      <c r="B50" s="14" t="inlineStr">
        <is>
          <t>2015</t>
        </is>
      </c>
      <c r="C50" s="14" t="inlineStr">
        <is>
          <t>2016</t>
        </is>
      </c>
      <c r="D50" s="14" t="inlineStr">
        <is>
          <t>2017</t>
        </is>
      </c>
      <c r="E50" s="14" t="inlineStr">
        <is>
          <t>2018</t>
        </is>
      </c>
      <c r="F50" s="14" t="inlineStr">
        <is>
          <t>2019</t>
        </is>
      </c>
      <c r="G50" s="14" t="inlineStr">
        <is>
          <t>2020</t>
        </is>
      </c>
      <c r="H50" s="14" t="inlineStr">
        <is>
          <t>2021</t>
        </is>
      </c>
      <c r="I50" s="14" t="inlineStr">
        <is>
          <t>2022</t>
        </is>
      </c>
      <c r="J50" s="14" t="inlineStr">
        <is>
          <t>2023</t>
        </is>
      </c>
      <c r="K50" s="14" t="inlineStr">
        <is>
          <t>2024</t>
        </is>
      </c>
      <c r="L50" s="14" t="inlineStr">
        <is>
          <t>2025</t>
        </is>
      </c>
      <c r="N50" s="14" t="inlineStr">
        <is>
          <t xml:space="preserve">Year -2
Q1</t>
        </is>
      </c>
      <c r="O50" s="14" t="inlineStr">
        <is>
          <t xml:space="preserve">Year -2
Q2</t>
        </is>
      </c>
      <c r="P50" s="14" t="inlineStr">
        <is>
          <t xml:space="preserve">Year -2
Q3</t>
        </is>
      </c>
      <c r="Q50" s="14" t="inlineStr">
        <is>
          <t xml:space="preserve">Year -2
Q4</t>
        </is>
      </c>
      <c r="R50" s="14" t="inlineStr">
        <is>
          <t xml:space="preserve">Year -1
Q1</t>
        </is>
      </c>
      <c r="S50" s="14" t="inlineStr">
        <is>
          <t xml:space="preserve">Year -1
Q2</t>
        </is>
      </c>
      <c r="T50" s="14" t="inlineStr">
        <is>
          <t xml:space="preserve">Year -1
Q3</t>
        </is>
      </c>
      <c r="U50" s="14" t="inlineStr">
        <is>
          <t xml:space="preserve">Year -1
Q4</t>
        </is>
      </c>
      <c r="V50" s="14" t="inlineStr">
        <is>
          <t xml:space="preserve">Current Year
Q1</t>
        </is>
      </c>
      <c r="W50" s="14" t="inlineStr">
        <is>
          <t xml:space="preserve">Current Year
Q2</t>
        </is>
      </c>
      <c r="X50" s="14" t="inlineStr">
        <is>
          <t xml:space="preserve">Current Year
Q3</t>
        </is>
      </c>
      <c r="Y50" s="14" t="inlineStr">
        <is>
          <t xml:space="preserve">Current Year
Q4</t>
        </is>
      </c>
      <c r="Z50" s="435"/>
      <c r="AA50" s="435"/>
      <c r="AB50" s="435"/>
      <c r="AC50" s="435"/>
    </row>
    <row r="51" ht="15" customHeight="1" s="74">
      <c r="A51" s="17" t="inlineStr">
        <is>
          <t>Cash from Operations</t>
        </is>
      </c>
      <c r="B51" s="382" t="n">
        <v>1672.081</v>
      </c>
      <c r="C51" s="382" t="n">
        <v>2162.198</v>
      </c>
      <c r="D51" s="382" t="n">
        <v>2737.965</v>
      </c>
      <c r="E51" s="382" t="n">
        <v>3398</v>
      </c>
      <c r="F51" s="382" t="n">
        <v>4331</v>
      </c>
      <c r="G51" s="382" t="n">
        <v>4801</v>
      </c>
      <c r="H51" s="382" t="n">
        <v>6000</v>
      </c>
      <c r="I51" s="382" t="n">
        <v>7111</v>
      </c>
      <c r="J51" s="382" t="n">
        <v>10234</v>
      </c>
      <c r="K51" s="382" t="n">
        <v>13092</v>
      </c>
      <c r="L51" s="382" t="n">
        <v>14996</v>
      </c>
      <c r="N51" s="383" t="n">
        <v>6247</v>
      </c>
      <c r="O51" s="383" t="n">
        <v>892</v>
      </c>
      <c r="P51" s="383" t="n">
        <v>1983</v>
      </c>
      <c r="Q51" s="383" t="n">
        <v>3970</v>
      </c>
      <c r="R51" s="383" t="n">
        <v>6476</v>
      </c>
      <c r="S51" s="383" t="n">
        <v>740</v>
      </c>
      <c r="T51" s="383" t="n">
        <v>2316</v>
      </c>
      <c r="U51" s="383" t="n">
        <v>5464</v>
      </c>
      <c r="V51" s="384" t="n">
        <v>6701</v>
      </c>
      <c r="W51" s="462"/>
      <c r="X51" s="462"/>
      <c r="Y51" s="462"/>
    </row>
    <row r="52" ht="15" customHeight="1" s="74">
      <c r="A52" s="15" t="inlineStr">
        <is>
          <t>Capital Expenditures</t>
        </is>
      </c>
      <c r="B52" s="379" t="n">
        <v>284.476</v>
      </c>
      <c r="C52" s="379" t="n">
        <v>463.958</v>
      </c>
      <c r="D52" s="379" t="n">
        <v>534.027</v>
      </c>
      <c r="E52" s="379" t="n">
        <v>595</v>
      </c>
      <c r="F52" s="379" t="n">
        <v>643</v>
      </c>
      <c r="G52" s="379" t="n">
        <v>710</v>
      </c>
      <c r="H52" s="379" t="n">
        <v>717</v>
      </c>
      <c r="I52" s="379" t="n">
        <v>798</v>
      </c>
      <c r="J52" s="379" t="n">
        <v>736</v>
      </c>
      <c r="K52" s="379" t="n">
        <v>658</v>
      </c>
      <c r="L52" s="379" t="n">
        <v>594</v>
      </c>
      <c r="N52" s="380" t="n">
        <v>163</v>
      </c>
      <c r="O52" s="380" t="n">
        <v>137</v>
      </c>
      <c r="P52" s="380" t="n">
        <v>204</v>
      </c>
      <c r="Q52" s="380" t="n">
        <v>154</v>
      </c>
      <c r="R52" s="380" t="n">
        <v>179</v>
      </c>
      <c r="S52" s="380" t="n">
        <v>135</v>
      </c>
      <c r="T52" s="380" t="n">
        <v>139</v>
      </c>
      <c r="U52" s="380" t="n">
        <v>141</v>
      </c>
      <c r="V52" s="381" t="n">
        <v>145</v>
      </c>
      <c r="W52" s="462"/>
      <c r="X52" s="462"/>
      <c r="Y52" s="462"/>
    </row>
    <row r="53" ht="15" customHeight="1" s="74">
      <c r="A53" s="17" t="inlineStr">
        <is>
          <t>Free Cash Flow</t>
        </is>
      </c>
      <c r="B53" s="385">
        <f>IFERROR(IF(OR(NOT(ISNUMBER(Data!B51)),NOT(ISNUMBER(Data!B52))),"-",Data!B51-ABS(Data!B52)),"-")</f>
        <v>1387.605</v>
      </c>
      <c r="C53" s="385">
        <f>IFERROR(IF(OR(NOT(ISNUMBER(Data!C51)),NOT(ISNUMBER(Data!C52))),"-",Data!C51-ABS(Data!C52)),"-")</f>
        <v>1698.2399999999998</v>
      </c>
      <c r="D53" s="385">
        <f>IFERROR(IF(OR(NOT(ISNUMBER(Data!D51)),NOT(ISNUMBER(Data!D52))),"-",Data!D51-ABS(Data!D52)),"-")</f>
        <v>2203.938</v>
      </c>
      <c r="E53" s="385">
        <f>IFERROR(IF(OR(NOT(ISNUMBER(Data!E51)),NOT(ISNUMBER(Data!E52))),"-",Data!E51-ABS(Data!E52)),"-")</f>
        <v>2803.0</v>
      </c>
      <c r="F53" s="385">
        <f>IFERROR(IF(OR(NOT(ISNUMBER(Data!F51)),NOT(ISNUMBER(Data!F52))),"-",Data!F51-ABS(Data!F52)),"-")</f>
        <v>3688.0</v>
      </c>
      <c r="G53" s="385">
        <f>IFERROR(IF(OR(NOT(ISNUMBER(Data!G51)),NOT(ISNUMBER(Data!G52))),"-",Data!G51-ABS(Data!G52)),"-")</f>
        <v>4091.0</v>
      </c>
      <c r="H53" s="385">
        <f>IFERROR(IF(OR(NOT(ISNUMBER(Data!H51)),NOT(ISNUMBER(Data!H52))),"-",Data!H51-ABS(Data!H52)),"-")</f>
        <v>5283.0</v>
      </c>
      <c r="I53" s="385">
        <f>IFERROR(IF(OR(NOT(ISNUMBER(Data!I51)),NOT(ISNUMBER(Data!I52))),"-",Data!I51-ABS(Data!I52)),"-")</f>
        <v>6313.0</v>
      </c>
      <c r="J53" s="385">
        <f>IFERROR(IF(OR(NOT(ISNUMBER(Data!J51)),NOT(ISNUMBER(Data!J52))),"-",Data!J51-ABS(Data!J52)),"-")</f>
        <v>9498.0</v>
      </c>
      <c r="K53" s="385">
        <f>IFERROR(IF(OR(NOT(ISNUMBER(Data!K51)),NOT(ISNUMBER(Data!K52))),"-",Data!K51-ABS(Data!K52)),"-")</f>
        <v>12434.0</v>
      </c>
      <c r="L53" s="385">
        <f>IFERROR(IF(OR(NOT(ISNUMBER(Data!L51)),NOT(ISNUMBER(Data!L52))),"-",Data!L51-ABS(Data!L52)),"-")</f>
        <v>14402.0</v>
      </c>
      <c r="N53" s="386">
        <f>IFERROR(IF(OR(NOT(ISNUMBER(Data!N51)),NOT(ISNUMBER(Data!N52))),"-",Data!N51-ABS(Data!N52)),"-")</f>
        <v>6084.0</v>
      </c>
      <c r="O53" s="386">
        <f>IFERROR(IF(OR(NOT(ISNUMBER(Data!O51)),NOT(ISNUMBER(Data!O52))),"-",Data!O51-ABS(Data!O52)),"-")</f>
        <v>755.0</v>
      </c>
      <c r="P53" s="386">
        <f>IFERROR(IF(OR(NOT(ISNUMBER(Data!P51)),NOT(ISNUMBER(Data!P52))),"-",Data!P51-ABS(Data!P52)),"-")</f>
        <v>1779.0</v>
      </c>
      <c r="Q53" s="386">
        <f>IFERROR(IF(OR(NOT(ISNUMBER(Data!Q51)),NOT(ISNUMBER(Data!Q52))),"-",Data!Q51-ABS(Data!Q52)),"-")</f>
        <v>3816.0</v>
      </c>
      <c r="R53" s="386">
        <f>IFERROR(IF(OR(NOT(ISNUMBER(Data!R51)),NOT(ISNUMBER(Data!R52))),"-",Data!R51-ABS(Data!R52)),"-")</f>
        <v>6297.0</v>
      </c>
      <c r="S53" s="386">
        <f>IFERROR(IF(OR(NOT(ISNUMBER(Data!S51)),NOT(ISNUMBER(Data!S52))),"-",Data!S51-ABS(Data!S52)),"-")</f>
        <v>605.0</v>
      </c>
      <c r="T53" s="386">
        <f>IFERROR(IF(OR(NOT(ISNUMBER(Data!T51)),NOT(ISNUMBER(Data!T52))),"-",Data!T51-ABS(Data!T52)),"-")</f>
        <v>2177.0</v>
      </c>
      <c r="U53" s="386">
        <f>IFERROR(IF(OR(NOT(ISNUMBER(Data!U51)),NOT(ISNUMBER(Data!U52))),"-",Data!U51-ABS(Data!U52)),"-")</f>
        <v>5323.0</v>
      </c>
      <c r="V53" s="387">
        <f>IFERROR(IF(OR(NOT(ISNUMBER(Data!V51)),NOT(ISNUMBER(Data!V52))),"-",Data!V51-ABS(Data!V52)),"-")</f>
        <v>6556.0</v>
      </c>
      <c r="W53" s="463">
        <f>IFERROR(IF(OR(NOT(ISNUMBER(Data!W51)),NOT(ISNUMBER(Data!W52))),"-",Data!W51-ABS(Data!W52)),"-")</f>
      </c>
      <c r="X53" s="463">
        <f>IFERROR(IF(OR(NOT(ISNUMBER(Data!X51)),NOT(ISNUMBER(Data!X52))),"-",Data!X51-ABS(Data!X52)),"-")</f>
      </c>
      <c r="Y53" s="463">
        <f>IFERROR(IF(OR(NOT(ISNUMBER(Data!Y51)),NOT(ISNUMBER(Data!Y52))),"-",Data!Y51-ABS(Data!Y52)),"-")</f>
      </c>
    </row>
    <row r="54" ht="15" customHeight="1" s="74">
      <c r="A54" s="15" t="inlineStr">
        <is>
          <t>Stock-Based Compensation</t>
        </is>
      </c>
      <c r="B54" s="379" t="n">
        <v>593.628</v>
      </c>
      <c r="C54" s="379" t="n">
        <v>820.367</v>
      </c>
      <c r="D54" s="379" t="n">
        <v>997.013</v>
      </c>
      <c r="E54" s="379" t="n">
        <v>1283</v>
      </c>
      <c r="F54" s="379" t="n">
        <v>1785</v>
      </c>
      <c r="G54" s="379" t="n">
        <v>2190</v>
      </c>
      <c r="H54" s="379" t="n">
        <v>2779</v>
      </c>
      <c r="I54" s="379" t="n">
        <v>3279</v>
      </c>
      <c r="J54" s="379" t="n">
        <v>2787</v>
      </c>
      <c r="K54" s="379" t="n">
        <v>3183</v>
      </c>
      <c r="L54" s="379" t="n">
        <v>3509</v>
      </c>
      <c r="N54" s="380" t="n">
        <v>750</v>
      </c>
      <c r="O54" s="380" t="n">
        <v>810</v>
      </c>
      <c r="P54" s="380" t="n">
        <v>820</v>
      </c>
      <c r="Q54" s="380" t="n">
        <v>803</v>
      </c>
      <c r="R54" s="380" t="n">
        <v>814</v>
      </c>
      <c r="S54" s="380" t="n">
        <v>793</v>
      </c>
      <c r="T54" s="380" t="n">
        <v>819</v>
      </c>
      <c r="U54" s="380" t="n">
        <v>1083</v>
      </c>
      <c r="V54" s="381" t="n">
        <v>857</v>
      </c>
      <c r="W54" s="462"/>
      <c r="X54" s="462"/>
      <c r="Y54" s="462"/>
    </row>
    <row r="55" ht="15" customHeight="1" s="74">
      <c r="A55" s="17" t="inlineStr">
        <is>
          <t>Dividends Paid</t>
        </is>
      </c>
      <c r="B55" s="382"/>
      <c r="C55" s="382" t="n">
        <v>0</v>
      </c>
      <c r="D55" s="382" t="n">
        <v>0</v>
      </c>
      <c r="E55" s="382" t="n">
        <v>0</v>
      </c>
      <c r="F55" s="382"/>
      <c r="G55" s="382" t="n">
        <v>0</v>
      </c>
      <c r="H55" s="382" t="n">
        <v>0</v>
      </c>
      <c r="I55" s="382" t="n">
        <v>0</v>
      </c>
      <c r="J55" s="382" t="n">
        <v>0</v>
      </c>
      <c r="K55" s="382" t="n">
        <v>1537</v>
      </c>
      <c r="L55" s="382" t="n">
        <v>1587</v>
      </c>
      <c r="N55" s="383" t="n">
        <v>388</v>
      </c>
      <c r="O55" s="383" t="n">
        <v>384</v>
      </c>
      <c r="P55" s="383" t="n">
        <v>382</v>
      </c>
      <c r="Q55" s="383" t="n">
        <v>383</v>
      </c>
      <c r="R55" s="383" t="n">
        <v>402</v>
      </c>
      <c r="S55" s="383" t="n">
        <v>399</v>
      </c>
      <c r="T55" s="383" t="n">
        <v>395</v>
      </c>
      <c r="U55" s="383" t="n">
        <v>391</v>
      </c>
      <c r="V55" s="384" t="n">
        <v>365</v>
      </c>
      <c r="W55" s="462"/>
      <c r="X55" s="462"/>
      <c r="Y55" s="462"/>
    </row>
    <row r="56" ht="15" customHeight="1" s="74">
      <c r="A56" s="15" t="inlineStr">
        <is>
          <t>Share Repurchases</t>
        </is>
      </c>
      <c r="B56" s="379"/>
      <c r="C56" s="379" t="n">
        <v>0</v>
      </c>
      <c r="D56" s="379" t="n">
        <v>0</v>
      </c>
      <c r="E56" s="379" t="n">
        <v>0</v>
      </c>
      <c r="F56" s="379"/>
      <c r="G56" s="379" t="n">
        <v>0</v>
      </c>
      <c r="H56" s="379" t="n">
        <v>0</v>
      </c>
      <c r="I56" s="379" t="n">
        <v>4000</v>
      </c>
      <c r="J56" s="379" t="n">
        <v>7620</v>
      </c>
      <c r="K56" s="379" t="n">
        <v>7829</v>
      </c>
      <c r="L56" s="379" t="n">
        <v>12596</v>
      </c>
      <c r="N56" s="380" t="n">
        <v>2133</v>
      </c>
      <c r="O56" s="380" t="n">
        <v>4335</v>
      </c>
      <c r="P56" s="380" t="n">
        <v>1285</v>
      </c>
      <c r="Q56" s="380" t="n">
        <v>76</v>
      </c>
      <c r="R56" s="380" t="n">
        <v>2633</v>
      </c>
      <c r="S56" s="380" t="n">
        <v>2225</v>
      </c>
      <c r="T56" s="380" t="n">
        <v>3801</v>
      </c>
      <c r="U56" s="380" t="n">
        <v>3937</v>
      </c>
      <c r="V56" s="381" t="n">
        <v>27248</v>
      </c>
      <c r="W56" s="462"/>
      <c r="X56" s="462"/>
      <c r="Y56" s="462"/>
    </row>
    <row r="57">
      <c r="A57" s="2" t="inlineStr">
        <is>
          <t>Historical Share Price (Period-End)</t>
        </is>
      </c>
      <c r="B57" s="2" t="n">
        <v>56.45</v>
      </c>
      <c r="C57" s="2" t="n">
        <v>68.06</v>
      </c>
      <c r="D57" s="2" t="n">
        <v>79.09999999999999</v>
      </c>
      <c r="E57" s="2" t="n">
        <v>113.91</v>
      </c>
      <c r="F57" s="2" t="n">
        <v>151.97</v>
      </c>
      <c r="G57" s="2" t="n">
        <v>182.31</v>
      </c>
      <c r="H57" s="2" t="n">
        <v>225.56</v>
      </c>
      <c r="I57" s="2" t="n">
        <v>232.63</v>
      </c>
      <c r="J57" s="2" t="n">
        <v>167.97</v>
      </c>
      <c r="K57" s="2" t="n">
        <v>281.09</v>
      </c>
      <c r="L57" s="2" t="n">
        <v>341.7</v>
      </c>
      <c r="N57" s="224"/>
      <c r="O57" s="224"/>
      <c r="P57" s="224"/>
      <c r="Q57" s="224"/>
      <c r="R57" s="224"/>
      <c r="S57" s="224"/>
      <c r="T57" s="224"/>
      <c r="U57" s="224"/>
      <c r="V57" s="224"/>
      <c r="W57" s="466"/>
      <c r="X57" s="466"/>
      <c r="Y57" s="466"/>
    </row>
    <row r="58"/>
    <row r="59" ht="19" customHeight="1" s="74">
      <c r="A59" s="226" t="inlineStr">
        <is>
          <t>SEGMENT &amp; GEOGRAPHIC DATA ($M)  — agent fills names + yearly values</t>
        </is>
      </c>
    </row>
    <row r="60">
      <c r="A60" s="227" t="inlineStr">
        <is>
          <t>Revenue by Segment:</t>
        </is>
      </c>
    </row>
    <row r="61">
      <c r="A61" s="259" t="inlineStr">
        <is>
          <t>Americas</t>
        </is>
      </c>
      <c r="B61" s="425"/>
      <c r="C61" s="425" t="n">
        <v>4910745</v>
      </c>
      <c r="D61" s="425" t="n">
        <v>6224971</v>
      </c>
      <c r="E61" s="425" t="n">
        <v>7579116</v>
      </c>
      <c r="F61" s="425" t="n">
        <v>9445</v>
      </c>
      <c r="G61" s="425" t="n">
        <v>12051</v>
      </c>
      <c r="H61" s="425" t="n">
        <v>14736</v>
      </c>
      <c r="I61" s="425" t="n">
        <v>17983</v>
      </c>
      <c r="J61" s="425" t="n">
        <v>21250</v>
      </c>
      <c r="K61" s="425" t="n">
        <v>23289</v>
      </c>
      <c r="L61" s="425" t="n">
        <v>25143</v>
      </c>
      <c r="M61" s="261"/>
      <c r="N61" s="395"/>
      <c r="O61" s="395"/>
      <c r="P61" s="395"/>
      <c r="Q61" s="395"/>
      <c r="R61" s="395"/>
      <c r="S61" s="395"/>
      <c r="T61" s="395"/>
      <c r="U61" s="395"/>
      <c r="V61" s="395"/>
      <c r="W61" s="395"/>
      <c r="X61" s="395"/>
      <c r="Y61" s="395"/>
    </row>
    <row r="62">
      <c r="A62" s="263" t="inlineStr">
        <is>
          <t>Europe</t>
        </is>
      </c>
      <c r="B62" s="426"/>
      <c r="C62" s="426" t="n">
        <v>1162808</v>
      </c>
      <c r="D62" s="426" t="n">
        <v>1373547</v>
      </c>
      <c r="E62" s="426" t="n">
        <v>1903524</v>
      </c>
      <c r="F62" s="426" t="n">
        <v>2553</v>
      </c>
      <c r="G62" s="426" t="n">
        <v>3430</v>
      </c>
      <c r="H62" s="426" t="n">
        <v>4501</v>
      </c>
      <c r="I62" s="426" t="n">
        <v>6016</v>
      </c>
      <c r="J62" s="426" t="n">
        <v>7163</v>
      </c>
      <c r="K62" s="426" t="n">
        <v>8128</v>
      </c>
      <c r="L62" s="426" t="n">
        <v>8891</v>
      </c>
      <c r="M62" s="261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</row>
    <row r="63">
      <c r="A63" s="259" t="inlineStr">
        <is>
          <t>Asia Pacific</t>
        </is>
      </c>
      <c r="B63" s="425"/>
      <c r="C63" s="425" t="n">
        <v>593663</v>
      </c>
      <c r="D63" s="425" t="n">
        <v>793466</v>
      </c>
      <c r="E63" s="425" t="n">
        <v>997372</v>
      </c>
      <c r="F63" s="425" t="n">
        <v>1284</v>
      </c>
      <c r="G63" s="425" t="n">
        <v>1617</v>
      </c>
      <c r="H63" s="425" t="n">
        <v>2015</v>
      </c>
      <c r="I63" s="425" t="n">
        <v>2493</v>
      </c>
      <c r="J63" s="425" t="n">
        <v>2939</v>
      </c>
      <c r="K63" s="425" t="n">
        <v>3440</v>
      </c>
      <c r="L63" s="425" t="n">
        <v>3861</v>
      </c>
      <c r="M63" s="261"/>
      <c r="N63" s="395"/>
      <c r="O63" s="395"/>
      <c r="P63" s="395"/>
      <c r="Q63" s="395"/>
      <c r="R63" s="395"/>
      <c r="S63" s="395"/>
      <c r="T63" s="395"/>
      <c r="U63" s="395"/>
      <c r="V63" s="395"/>
      <c r="W63" s="395"/>
      <c r="X63" s="395"/>
      <c r="Y63" s="395"/>
    </row>
    <row r="64">
      <c r="A64" s="263" t="inlineStr">
        <is>
          <t>Segment 4</t>
        </is>
      </c>
      <c r="B64" s="426"/>
      <c r="C64" s="426"/>
      <c r="D64" s="426"/>
      <c r="E64" s="426"/>
      <c r="F64" s="426"/>
      <c r="G64" s="426"/>
      <c r="H64" s="426"/>
      <c r="I64" s="426"/>
      <c r="J64" s="426"/>
      <c r="K64" s="426"/>
      <c r="L64" s="426"/>
      <c r="M64" s="261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</row>
    <row r="65">
      <c r="A65" s="259" t="inlineStr">
        <is>
          <t>Segment 5</t>
        </is>
      </c>
      <c r="B65" s="425"/>
      <c r="C65" s="425"/>
      <c r="D65" s="425"/>
      <c r="E65" s="425"/>
      <c r="F65" s="425"/>
      <c r="G65" s="425"/>
      <c r="H65" s="425"/>
      <c r="I65" s="425"/>
      <c r="J65" s="425"/>
      <c r="K65" s="425"/>
      <c r="L65" s="425"/>
      <c r="M65" s="261"/>
      <c r="N65" s="395"/>
      <c r="O65" s="395"/>
      <c r="P65" s="395"/>
      <c r="Q65" s="395"/>
      <c r="R65" s="395"/>
      <c r="S65" s="395"/>
      <c r="T65" s="395"/>
      <c r="U65" s="395"/>
      <c r="V65" s="395"/>
      <c r="W65" s="395"/>
      <c r="X65" s="395"/>
      <c r="Y65" s="395"/>
    </row>
    <row r="66">
      <c r="A66" s="263" t="inlineStr">
        <is>
          <t>Segment 6</t>
        </is>
      </c>
      <c r="B66" s="426"/>
      <c r="C66" s="426"/>
      <c r="D66" s="426"/>
      <c r="E66" s="426"/>
      <c r="F66" s="426"/>
      <c r="G66" s="426"/>
      <c r="H66" s="426"/>
      <c r="I66" s="426"/>
      <c r="J66" s="426"/>
      <c r="K66" s="426"/>
      <c r="L66" s="426"/>
      <c r="M66" s="261"/>
      <c r="N66" s="395"/>
      <c r="O66" s="395"/>
      <c r="P66" s="395"/>
      <c r="Q66" s="395"/>
      <c r="R66" s="395"/>
      <c r="S66" s="395"/>
      <c r="T66" s="395"/>
      <c r="U66" s="395"/>
      <c r="V66" s="395"/>
      <c r="W66" s="395"/>
      <c r="X66" s="395"/>
      <c r="Y66" s="395"/>
    </row>
    <row r="67">
      <c r="A67" s="259" t="inlineStr">
        <is>
          <t>Segment 7</t>
        </is>
      </c>
      <c r="B67" s="425"/>
      <c r="C67" s="425"/>
      <c r="D67" s="425"/>
      <c r="E67" s="425"/>
      <c r="F67" s="425"/>
      <c r="G67" s="425"/>
      <c r="H67" s="425"/>
      <c r="I67" s="425"/>
      <c r="J67" s="425"/>
      <c r="K67" s="425"/>
      <c r="L67" s="425"/>
      <c r="M67" s="261"/>
      <c r="N67" s="395"/>
      <c r="O67" s="395"/>
      <c r="P67" s="395"/>
      <c r="Q67" s="395"/>
      <c r="R67" s="395"/>
      <c r="S67" s="395"/>
      <c r="T67" s="395"/>
      <c r="U67" s="395"/>
      <c r="V67" s="395"/>
      <c r="W67" s="395"/>
      <c r="X67" s="395"/>
      <c r="Y67" s="395"/>
    </row>
    <row r="68">
      <c r="A68" s="263" t="inlineStr">
        <is>
          <t>Segment 8</t>
        </is>
      </c>
      <c r="B68" s="426"/>
      <c r="C68" s="426"/>
      <c r="D68" s="426"/>
      <c r="E68" s="426"/>
      <c r="F68" s="426"/>
      <c r="G68" s="426"/>
      <c r="H68" s="426"/>
      <c r="I68" s="426"/>
      <c r="J68" s="426"/>
      <c r="K68" s="426"/>
      <c r="L68" s="426"/>
      <c r="M68" s="261"/>
      <c r="N68" s="395"/>
      <c r="O68" s="395"/>
      <c r="P68" s="395"/>
      <c r="Q68" s="395"/>
      <c r="R68" s="395"/>
      <c r="S68" s="395"/>
      <c r="T68" s="395"/>
      <c r="U68" s="395"/>
      <c r="V68" s="395"/>
      <c r="W68" s="395"/>
      <c r="X68" s="395"/>
      <c r="Y68" s="395"/>
    </row>
    <row r="69"/>
    <row r="70">
      <c r="A70" s="227" t="inlineStr">
        <is>
          <t>Operating Income by Segment:</t>
        </is>
      </c>
    </row>
    <row r="71">
      <c r="A71" s="259" t="inlineStr">
        <is>
          <t>Americas</t>
        </is>
      </c>
      <c r="B71" s="425"/>
      <c r="C71" s="425"/>
      <c r="D71" s="425"/>
      <c r="E71" s="425"/>
      <c r="F71" s="425"/>
      <c r="G71" s="425"/>
      <c r="H71" s="425"/>
      <c r="I71" s="425"/>
      <c r="J71" s="425"/>
      <c r="K71" s="425"/>
      <c r="L71" s="425"/>
      <c r="M71" s="261"/>
      <c r="N71" s="395"/>
      <c r="O71" s="395"/>
      <c r="P71" s="395"/>
      <c r="Q71" s="395"/>
      <c r="R71" s="395"/>
      <c r="S71" s="395"/>
      <c r="T71" s="395"/>
      <c r="U71" s="395"/>
      <c r="V71" s="395"/>
      <c r="W71" s="395"/>
      <c r="X71" s="395"/>
      <c r="Y71" s="395"/>
    </row>
    <row r="72">
      <c r="A72" s="263" t="inlineStr">
        <is>
          <t>Europe</t>
        </is>
      </c>
      <c r="B72" s="426"/>
      <c r="C72" s="426"/>
      <c r="D72" s="426"/>
      <c r="E72" s="426"/>
      <c r="F72" s="426"/>
      <c r="G72" s="426"/>
      <c r="H72" s="426"/>
      <c r="I72" s="426"/>
      <c r="J72" s="426"/>
      <c r="K72" s="426"/>
      <c r="L72" s="426"/>
      <c r="M72" s="261"/>
      <c r="N72" s="395"/>
      <c r="O72" s="395"/>
      <c r="P72" s="395"/>
      <c r="Q72" s="395"/>
      <c r="R72" s="395"/>
      <c r="S72" s="395"/>
      <c r="T72" s="395"/>
      <c r="U72" s="395"/>
      <c r="V72" s="395"/>
      <c r="W72" s="395"/>
      <c r="X72" s="395"/>
      <c r="Y72" s="395"/>
    </row>
    <row r="73">
      <c r="A73" s="259" t="inlineStr">
        <is>
          <t>Asia Pacific</t>
        </is>
      </c>
      <c r="B73" s="425"/>
      <c r="C73" s="425"/>
      <c r="D73" s="425"/>
      <c r="E73" s="425"/>
      <c r="F73" s="425"/>
      <c r="G73" s="425"/>
      <c r="H73" s="425"/>
      <c r="I73" s="425"/>
      <c r="J73" s="425"/>
      <c r="K73" s="425"/>
      <c r="L73" s="425"/>
      <c r="M73" s="261"/>
      <c r="N73" s="395"/>
      <c r="O73" s="395"/>
      <c r="P73" s="395"/>
      <c r="Q73" s="395"/>
      <c r="R73" s="395"/>
      <c r="S73" s="395"/>
      <c r="T73" s="395"/>
      <c r="U73" s="395"/>
      <c r="V73" s="395"/>
      <c r="W73" s="395"/>
      <c r="X73" s="395"/>
      <c r="Y73" s="395"/>
    </row>
    <row r="74">
      <c r="A74" s="263" t="inlineStr">
        <is>
          <t>Segment 4</t>
        </is>
      </c>
      <c r="B74" s="426"/>
      <c r="C74" s="426"/>
      <c r="D74" s="426"/>
      <c r="E74" s="426"/>
      <c r="F74" s="426"/>
      <c r="G74" s="426"/>
      <c r="H74" s="426"/>
      <c r="I74" s="426"/>
      <c r="J74" s="426"/>
      <c r="K74" s="426"/>
      <c r="L74" s="426"/>
      <c r="M74" s="261"/>
      <c r="N74" s="395"/>
      <c r="O74" s="395"/>
      <c r="P74" s="395"/>
      <c r="Q74" s="395"/>
      <c r="R74" s="395"/>
      <c r="S74" s="395"/>
      <c r="T74" s="395"/>
      <c r="U74" s="395"/>
      <c r="V74" s="395"/>
      <c r="W74" s="395"/>
      <c r="X74" s="395"/>
      <c r="Y74" s="395"/>
    </row>
    <row r="75">
      <c r="A75" s="259" t="inlineStr">
        <is>
          <t>Segment 5</t>
        </is>
      </c>
      <c r="B75" s="425"/>
      <c r="C75" s="425"/>
      <c r="D75" s="425"/>
      <c r="E75" s="425"/>
      <c r="F75" s="425"/>
      <c r="G75" s="425"/>
      <c r="H75" s="425"/>
      <c r="I75" s="425"/>
      <c r="J75" s="425"/>
      <c r="K75" s="425"/>
      <c r="L75" s="425"/>
      <c r="M75" s="261"/>
      <c r="N75" s="395"/>
      <c r="O75" s="395"/>
      <c r="P75" s="395"/>
      <c r="Q75" s="395"/>
      <c r="R75" s="395"/>
      <c r="S75" s="395"/>
      <c r="T75" s="395"/>
      <c r="U75" s="395"/>
      <c r="V75" s="395"/>
      <c r="W75" s="395"/>
      <c r="X75" s="395"/>
      <c r="Y75" s="395"/>
    </row>
    <row r="76">
      <c r="A76" s="263" t="inlineStr">
        <is>
          <t>Segment 6</t>
        </is>
      </c>
      <c r="B76" s="426"/>
      <c r="C76" s="426"/>
      <c r="D76" s="426"/>
      <c r="E76" s="426"/>
      <c r="F76" s="426"/>
      <c r="G76" s="426"/>
      <c r="H76" s="426"/>
      <c r="I76" s="426"/>
      <c r="J76" s="426"/>
      <c r="K76" s="426"/>
      <c r="L76" s="426"/>
      <c r="M76" s="261"/>
      <c r="N76" s="395"/>
      <c r="O76" s="395"/>
      <c r="P76" s="395"/>
      <c r="Q76" s="395"/>
      <c r="R76" s="395"/>
      <c r="S76" s="395"/>
      <c r="T76" s="395"/>
      <c r="U76" s="395"/>
      <c r="V76" s="395"/>
      <c r="W76" s="395"/>
      <c r="X76" s="395"/>
      <c r="Y76" s="395"/>
    </row>
    <row r="77">
      <c r="A77" s="259" t="inlineStr">
        <is>
          <t>Segment 7</t>
        </is>
      </c>
      <c r="B77" s="425"/>
      <c r="C77" s="425"/>
      <c r="D77" s="425"/>
      <c r="E77" s="425"/>
      <c r="F77" s="425"/>
      <c r="G77" s="425"/>
      <c r="H77" s="425"/>
      <c r="I77" s="425"/>
      <c r="J77" s="425"/>
      <c r="K77" s="425"/>
      <c r="L77" s="425"/>
      <c r="M77" s="261"/>
      <c r="N77" s="395"/>
      <c r="O77" s="395"/>
      <c r="P77" s="395"/>
      <c r="Q77" s="395"/>
      <c r="R77" s="395"/>
      <c r="S77" s="395"/>
      <c r="T77" s="395"/>
      <c r="U77" s="395"/>
      <c r="V77" s="395"/>
      <c r="W77" s="395"/>
      <c r="X77" s="395"/>
      <c r="Y77" s="395"/>
    </row>
    <row r="78">
      <c r="A78" s="263" t="inlineStr">
        <is>
          <t>Segment 8</t>
        </is>
      </c>
      <c r="B78" s="426"/>
      <c r="C78" s="426"/>
      <c r="D78" s="426"/>
      <c r="E78" s="426"/>
      <c r="F78" s="426"/>
      <c r="G78" s="426"/>
      <c r="H78" s="426"/>
      <c r="I78" s="426"/>
      <c r="J78" s="426"/>
      <c r="K78" s="426"/>
      <c r="L78" s="426"/>
      <c r="M78" s="261"/>
      <c r="N78" s="395"/>
      <c r="O78" s="395"/>
      <c r="P78" s="395"/>
      <c r="Q78" s="395"/>
      <c r="R78" s="395"/>
      <c r="S78" s="395"/>
      <c r="T78" s="395"/>
      <c r="U78" s="395"/>
      <c r="V78" s="395"/>
      <c r="W78" s="395"/>
      <c r="X78" s="395"/>
      <c r="Y78" s="395"/>
    </row>
    <row r="79"/>
    <row r="80">
      <c r="A80" s="227" t="inlineStr">
        <is>
          <t>Revenue by Geography:</t>
        </is>
      </c>
    </row>
    <row r="81">
      <c r="A81" s="259" t="inlineStr">
        <is>
          <t>Region 1</t>
        </is>
      </c>
      <c r="B81" s="425"/>
      <c r="C81" s="425"/>
      <c r="D81" s="425"/>
      <c r="E81" s="425"/>
      <c r="F81" s="425"/>
      <c r="G81" s="425"/>
      <c r="H81" s="425"/>
      <c r="I81" s="425"/>
      <c r="J81" s="425"/>
      <c r="K81" s="425"/>
      <c r="L81" s="425"/>
      <c r="M81" s="261"/>
      <c r="N81" s="395"/>
      <c r="O81" s="395"/>
      <c r="P81" s="395"/>
      <c r="Q81" s="395"/>
      <c r="R81" s="395"/>
      <c r="S81" s="395"/>
      <c r="T81" s="395"/>
      <c r="U81" s="395"/>
      <c r="V81" s="395"/>
      <c r="W81" s="395"/>
      <c r="X81" s="395"/>
      <c r="Y81" s="395"/>
    </row>
    <row r="82">
      <c r="A82" s="263" t="inlineStr">
        <is>
          <t>Region 2</t>
        </is>
      </c>
      <c r="B82" s="426"/>
      <c r="C82" s="426"/>
      <c r="D82" s="426"/>
      <c r="E82" s="426"/>
      <c r="F82" s="426"/>
      <c r="G82" s="426"/>
      <c r="H82" s="426"/>
      <c r="I82" s="426"/>
      <c r="J82" s="426"/>
      <c r="K82" s="426"/>
      <c r="L82" s="426"/>
      <c r="M82" s="261"/>
      <c r="N82" s="395"/>
      <c r="O82" s="395"/>
      <c r="P82" s="395"/>
      <c r="Q82" s="395"/>
      <c r="R82" s="395"/>
      <c r="S82" s="395"/>
      <c r="T82" s="395"/>
      <c r="U82" s="395"/>
      <c r="V82" s="395"/>
      <c r="W82" s="395"/>
      <c r="X82" s="395"/>
      <c r="Y82" s="395"/>
    </row>
    <row r="83">
      <c r="A83" s="259" t="inlineStr">
        <is>
          <t>Region 3</t>
        </is>
      </c>
      <c r="B83" s="425"/>
      <c r="C83" s="425"/>
      <c r="D83" s="425"/>
      <c r="E83" s="425"/>
      <c r="F83" s="425"/>
      <c r="G83" s="425"/>
      <c r="H83" s="425"/>
      <c r="I83" s="425"/>
      <c r="J83" s="425"/>
      <c r="K83" s="425"/>
      <c r="L83" s="425"/>
      <c r="M83" s="261"/>
      <c r="N83" s="395"/>
      <c r="O83" s="395"/>
      <c r="P83" s="395"/>
      <c r="Q83" s="395"/>
      <c r="R83" s="395"/>
      <c r="S83" s="395"/>
      <c r="T83" s="395"/>
      <c r="U83" s="395"/>
      <c r="V83" s="395"/>
      <c r="W83" s="395"/>
      <c r="X83" s="395"/>
      <c r="Y83" s="395"/>
    </row>
    <row r="84">
      <c r="A84" s="263" t="inlineStr">
        <is>
          <t>Region 4</t>
        </is>
      </c>
      <c r="B84" s="426"/>
      <c r="C84" s="426"/>
      <c r="D84" s="426"/>
      <c r="E84" s="426"/>
      <c r="F84" s="426"/>
      <c r="G84" s="426"/>
      <c r="H84" s="426"/>
      <c r="I84" s="426"/>
      <c r="J84" s="426"/>
      <c r="K84" s="426"/>
      <c r="L84" s="426"/>
      <c r="M84" s="261"/>
      <c r="N84" s="395"/>
      <c r="O84" s="395"/>
      <c r="P84" s="395"/>
      <c r="Q84" s="395"/>
      <c r="R84" s="395"/>
      <c r="S84" s="395"/>
      <c r="T84" s="395"/>
      <c r="U84" s="395"/>
      <c r="V84" s="395"/>
      <c r="W84" s="395"/>
      <c r="X84" s="395"/>
      <c r="Y84" s="395"/>
    </row>
    <row r="85">
      <c r="A85" s="259" t="inlineStr">
        <is>
          <t>Region 5</t>
        </is>
      </c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261"/>
      <c r="N85" s="395"/>
      <c r="O85" s="395"/>
      <c r="P85" s="395"/>
      <c r="Q85" s="395"/>
      <c r="R85" s="395"/>
      <c r="S85" s="395"/>
      <c r="T85" s="395"/>
      <c r="U85" s="395"/>
      <c r="V85" s="395"/>
      <c r="W85" s="395"/>
      <c r="X85" s="395"/>
      <c r="Y85" s="395"/>
    </row>
    <row r="86">
      <c r="A86" s="263" t="inlineStr">
        <is>
          <t>Region 6</t>
        </is>
      </c>
      <c r="B86" s="426"/>
      <c r="C86" s="426"/>
      <c r="D86" s="426"/>
      <c r="E86" s="426"/>
      <c r="F86" s="426"/>
      <c r="G86" s="426"/>
      <c r="H86" s="426"/>
      <c r="I86" s="426"/>
      <c r="J86" s="426"/>
      <c r="K86" s="426"/>
      <c r="L86" s="426"/>
      <c r="M86" s="261"/>
      <c r="N86" s="395"/>
      <c r="O86" s="395"/>
      <c r="P86" s="395"/>
      <c r="Q86" s="395"/>
      <c r="R86" s="395"/>
      <c r="S86" s="395"/>
      <c r="T86" s="395"/>
      <c r="U86" s="395"/>
      <c r="V86" s="395"/>
      <c r="W86" s="395"/>
      <c r="X86" s="395"/>
      <c r="Y86" s="395"/>
    </row>
    <row r="87"/>
    <row r="88" ht="19" customHeight="1" s="74">
      <c r="A88" s="226" t="inlineStr">
        <is>
          <t>SUPPLEMENTAL INPUTS  — analyst fills if disclosed</t>
        </is>
      </c>
    </row>
    <row r="89">
      <c r="A89" s="259" t="inlineStr">
        <is>
          <t>Operating Lease Liabilities ($M)</t>
        </is>
      </c>
      <c r="B89" s="425"/>
      <c r="C89" s="425"/>
      <c r="D89" s="425"/>
      <c r="E89" s="425"/>
      <c r="F89" s="425"/>
      <c r="G89" s="425"/>
      <c r="H89" s="425"/>
      <c r="I89" s="425"/>
      <c r="J89" s="425"/>
      <c r="K89" s="425"/>
      <c r="L89" s="425"/>
      <c r="M89" s="261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1"/>
      <c r="Y89" s="261"/>
    </row>
    <row r="90">
      <c r="A90" s="263" t="inlineStr">
        <is>
          <t>Maintenance CapEx ($M, est.)</t>
        </is>
      </c>
      <c r="B90" s="426"/>
      <c r="C90" s="426"/>
      <c r="D90" s="426"/>
      <c r="E90" s="426"/>
      <c r="F90" s="426"/>
      <c r="G90" s="426"/>
      <c r="H90" s="426"/>
      <c r="I90" s="426"/>
      <c r="J90" s="426"/>
      <c r="K90" s="426"/>
      <c r="L90" s="426"/>
      <c r="M90" s="261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1"/>
      <c r="Y90" s="261"/>
    </row>
  </sheetData>
  <mergeCells count="6">
    <mergeCell ref="A59:L59"/>
    <mergeCell ref="A49:Y49"/>
    <mergeCell ref="A2:U2"/>
    <mergeCell ref="A88:L88"/>
    <mergeCell ref="A12:Y12"/>
    <mergeCell ref="A30:Y30"/>
  </mergeCells>
  <pageMargins left="0.75" right="0.75" top="1" bottom="1" header="0.511811023622047" footer="0.511811023622047"/>
  <pageSetup orientation="portrait" paperSize="9" horizontalDpi="300" verticalDpi="300"/>
</worksheet>
</file>

<file path=xl/worksheets/sheet4.xml><?xml version="1.0" encoding="utf-8"?>
<worksheet xmlns="http://schemas.openxmlformats.org/spreadsheetml/2006/main">
  <sheetPr>
    <tabColor rgb="FF1B7A2B"/>
    <outlinePr summaryBelow="1" summaryRight="1"/>
    <pageSetUpPr/>
  </sheetPr>
  <dimension ref="A1:M186"/>
  <sheetViews>
    <sheetView showGridLines="1" zoomScale="100" zoomScaleNormal="100" workbookViewId="0">
      <pane xSplit="1" topLeftCell="B1" activePane="topRight" state="frozen"/>
    </sheetView>
  </sheetViews>
  <sheetFormatPr baseColWidth="10" defaultColWidth="8.6640625" defaultRowHeight="15"/>
  <cols>
    <col width="36" customWidth="1" style="74" min="1" max="1"/>
    <col width="14" customWidth="1" style="74" min="2" max="2"/>
    <col width="14" customWidth="1" style="74" min="3" max="3"/>
    <col width="14" customWidth="1" style="74" min="4" max="4"/>
    <col width="14" customWidth="1" style="74" min="5" max="5"/>
    <col width="14" customWidth="1" style="74" min="6" max="6"/>
    <col width="14" customWidth="1" style="74" min="7" max="7"/>
    <col width="14" customWidth="1" style="74" min="8" max="8"/>
    <col width="14" customWidth="1" style="74" min="9" max="9"/>
    <col width="14" customWidth="1" style="74" min="10" max="10"/>
    <col width="14" customWidth="1" style="74" min="11" max="11"/>
    <col hidden="1" width="13" customWidth="1" style="74" min="13" max="13"/>
  </cols>
  <sheetData>
    <row r="1" ht="54.75" customHeight="1" s="74">
      <c r="A1" s="1"/>
      <c r="B1" s="2"/>
      <c r="C1" s="2"/>
      <c r="D1" s="2"/>
      <c r="E1" s="2"/>
      <c r="F1" s="2"/>
      <c r="G1" s="2"/>
      <c r="H1" s="2"/>
      <c r="I1" s="2"/>
      <c r="J1" s="2"/>
    </row>
    <row r="2" ht="17" customHeight="1" s="74">
      <c r="A2" s="291" t="inlineStr">
        <is>
          <t>Colour key:</t>
        </is>
      </c>
      <c r="B2" s="292" t="inlineStr">
        <is>
          <t>Company filing</t>
        </is>
      </c>
      <c r="C2" s="166"/>
      <c r="D2" s="293" t="inlineStr">
        <is>
          <t>Online / market</t>
        </is>
      </c>
      <c r="E2" s="166"/>
      <c r="F2" s="370" t="inlineStr">
        <is>
          <t>Computed</t>
        </is>
      </c>
      <c r="G2" s="166"/>
      <c r="H2" s="295" t="inlineStr">
        <is>
          <t>Analyst input</t>
        </is>
      </c>
      <c r="I2" s="166"/>
      <c r="J2" s="166"/>
      <c r="K2" s="95"/>
      <c r="L2" s="95"/>
      <c r="M2" s="95"/>
    </row>
    <row r="3" ht="19" customHeight="1" s="74">
      <c r="A3" s="226" t="inlineStr">
        <is>
          <t>1. COST OF CAPITAL (WACC)</t>
        </is>
      </c>
    </row>
    <row r="4" ht="15" customHeight="1" s="74">
      <c r="A4" s="313" t="inlineStr">
        <is>
          <t>Risk-Free Rate (10Y UST)</t>
        </is>
      </c>
      <c r="B4" s="396" t="n">
        <v>0.045</v>
      </c>
      <c r="C4" s="315"/>
      <c r="D4" s="315"/>
      <c r="E4" s="315"/>
      <c r="F4" s="315"/>
      <c r="G4" s="315"/>
      <c r="H4" s="315"/>
      <c r="I4" s="315"/>
      <c r="J4" s="315"/>
      <c r="K4" s="261"/>
      <c r="M4" s="308" t="inlineStr">
        <is>
          <t>market-researcher | FRED 10-Year Treasury Constant Maturity Rate DGS10 (https://fred.stlouisfed.org/series/DGS10) | as-of: 2026-06-22</t>
        </is>
      </c>
    </row>
    <row r="5" ht="15" customHeight="1" s="74">
      <c r="A5" s="313" t="inlineStr">
        <is>
          <t>Equity Risk Premium (Damodaran)</t>
        </is>
      </c>
      <c r="B5" s="396" t="n">
        <v>0.0423</v>
      </c>
      <c r="C5" s="272"/>
      <c r="D5" s="272"/>
      <c r="E5" s="272"/>
      <c r="F5" s="272"/>
      <c r="G5" s="272"/>
      <c r="H5" s="272"/>
      <c r="I5" s="272"/>
      <c r="J5" s="272"/>
      <c r="K5" s="261"/>
      <c r="M5" s="308" t="inlineStr">
        <is>
          <t>market-researcher | Damodaran implied US ERP, Data Update 2 for 2026 (https://aswathdamodaran.substack.com/p/data-update-2-for-2026-a-testing) | as-of: 2026-01-01</t>
        </is>
      </c>
    </row>
    <row r="6" ht="15" customHeight="1" s="74">
      <c r="A6" s="313" t="inlineStr">
        <is>
          <t>Beta (Levered)</t>
        </is>
      </c>
      <c r="B6" s="397" t="n">
        <v>1.15</v>
      </c>
      <c r="C6" s="315"/>
      <c r="D6" s="315"/>
      <c r="E6" s="315"/>
      <c r="F6" s="315"/>
      <c r="G6" s="315"/>
      <c r="H6" s="315"/>
      <c r="I6" s="315"/>
      <c r="J6" s="315"/>
      <c r="K6" s="261"/>
      <c r="M6" s="308" t="inlineStr">
        <is>
          <t>market-researcher | stockanalysis.com (https://stockanalysis.com/stocks/CRM/) | as-of: 2026-06-22</t>
        </is>
      </c>
    </row>
    <row r="7" ht="15" customHeight="1" s="74">
      <c r="A7" s="313" t="inlineStr">
        <is>
          <t>Size Premium</t>
        </is>
      </c>
      <c r="B7" s="396" t="n">
        <v>0</v>
      </c>
      <c r="C7" s="272"/>
      <c r="D7" s="272"/>
      <c r="E7" s="272"/>
      <c r="F7" s="272"/>
      <c r="G7" s="272"/>
      <c r="H7" s="272"/>
      <c r="I7" s="272"/>
      <c r="J7" s="272"/>
      <c r="K7" s="261"/>
      <c r="M7" s="308" t="inlineStr">
        <is>
          <t xml:space="preserve">market-researcher | valuation-agent | as-of: </t>
        </is>
      </c>
    </row>
    <row r="8" ht="15" customHeight="1" s="74">
      <c r="A8" s="313" t="inlineStr">
        <is>
          <t>Company-Specific Risk Premium</t>
        </is>
      </c>
      <c r="B8" s="398" t="n">
        <v>0</v>
      </c>
      <c r="C8" s="315"/>
      <c r="D8" s="315"/>
      <c r="E8" s="315"/>
      <c r="F8" s="315"/>
      <c r="G8" s="315"/>
      <c r="H8" s="315"/>
      <c r="I8" s="315"/>
      <c r="J8" s="315"/>
      <c r="K8" s="261"/>
      <c r="M8" s="308" t="inlineStr">
        <is>
          <t xml:space="preserve">market-researcher | valuation-agent | as-of: </t>
        </is>
      </c>
    </row>
    <row r="9" ht="15" customHeight="1" s="74">
      <c r="A9" s="318" t="inlineStr">
        <is>
          <t>Cost of Equity (Ke)</t>
        </is>
      </c>
      <c r="B9" s="399">
        <f>IFERROR(B4+B6*(B5+B8)+B7,"-")</f>
        <v>0.09364499999999999</v>
      </c>
      <c r="C9" s="272"/>
      <c r="D9" s="272"/>
      <c r="E9" s="272"/>
      <c r="F9" s="272"/>
      <c r="G9" s="272"/>
      <c r="H9" s="272"/>
      <c r="I9" s="272"/>
      <c r="J9" s="272"/>
      <c r="K9" s="261"/>
      <c r="M9" s="308"/>
    </row>
    <row r="10" ht="15" customHeight="1" s="74">
      <c r="A10" s="313" t="inlineStr">
        <is>
          <t>Pre-tax Cost of Debt (Kd)</t>
        </is>
      </c>
      <c r="B10" s="400" t="n">
        <v>0.04</v>
      </c>
      <c r="C10" s="315"/>
      <c r="D10" s="315"/>
      <c r="E10" s="315"/>
      <c r="F10" s="315"/>
      <c r="G10" s="315"/>
      <c r="H10" s="315"/>
      <c r="I10" s="315"/>
      <c r="J10" s="315"/>
      <c r="K10" s="261"/>
      <c r="M10" s="308" t="inlineStr">
        <is>
          <t xml:space="preserve">market-researcher | valuation-agent | as-of: </t>
        </is>
      </c>
    </row>
    <row r="11" ht="15" customHeight="1" s="74">
      <c r="A11" s="313" t="inlineStr">
        <is>
          <t>Marginal Tax Rate</t>
        </is>
      </c>
      <c r="B11" s="400" t="n">
        <v>0.21</v>
      </c>
      <c r="C11" s="272"/>
      <c r="D11" s="272"/>
      <c r="E11" s="272"/>
      <c r="F11" s="272"/>
      <c r="G11" s="272"/>
      <c r="H11" s="272"/>
      <c r="I11" s="272"/>
      <c r="J11" s="272"/>
      <c r="K11" s="261"/>
      <c r="M11" s="308" t="inlineStr">
        <is>
          <t xml:space="preserve">market-researcher | valuation-agent | as-of: </t>
        </is>
      </c>
    </row>
    <row r="12" ht="15" customHeight="1" s="74">
      <c r="A12" s="321" t="inlineStr">
        <is>
          <t>After-tax Cost of Debt</t>
        </is>
      </c>
      <c r="B12" s="399">
        <f>IFERROR(B10*(1-B11),"-")</f>
        <v>0.0316</v>
      </c>
      <c r="C12" s="315"/>
      <c r="D12" s="315"/>
      <c r="E12" s="315"/>
      <c r="F12" s="315"/>
      <c r="G12" s="315"/>
      <c r="H12" s="315"/>
      <c r="I12" s="315"/>
      <c r="J12" s="315"/>
      <c r="K12" s="261"/>
      <c r="M12" s="308"/>
    </row>
    <row r="13" ht="15" customHeight="1" s="74">
      <c r="A13" s="313" t="inlineStr">
        <is>
          <t>Debt / Total Capital (market)</t>
        </is>
      </c>
      <c r="B13" s="396" t="n">
        <v>0.03813</v>
      </c>
      <c r="C13" s="272"/>
      <c r="D13" s="272"/>
      <c r="E13" s="272"/>
      <c r="F13" s="272"/>
      <c r="G13" s="272"/>
      <c r="H13" s="272"/>
      <c r="I13" s="272"/>
      <c r="J13" s="272"/>
      <c r="K13" s="261"/>
      <c r="M13" s="308" t="inlineStr">
        <is>
          <t xml:space="preserve">market-researcher | valuation-agent | as-of: </t>
        </is>
      </c>
    </row>
    <row r="14" ht="15" customHeight="1" s="74">
      <c r="A14" s="321" t="inlineStr">
        <is>
          <t>Equity / Total Capital (market)</t>
        </is>
      </c>
      <c r="B14" s="399">
        <f>IFERROR(1-B13,"-")</f>
        <v>0.96187</v>
      </c>
      <c r="C14" s="315"/>
      <c r="D14" s="315"/>
      <c r="E14" s="315"/>
      <c r="F14" s="315"/>
      <c r="G14" s="315"/>
      <c r="H14" s="315"/>
      <c r="I14" s="315"/>
      <c r="J14" s="315"/>
      <c r="K14" s="261"/>
      <c r="M14" s="308"/>
    </row>
    <row r="15" ht="15" customHeight="1" s="74">
      <c r="A15" s="318" t="inlineStr">
        <is>
          <t>WACC</t>
        </is>
      </c>
      <c r="B15" s="399">
        <f>IFERROR(B9*B14+B12*B13,"-")</f>
        <v>0.09127922414999999</v>
      </c>
      <c r="C15" s="272"/>
      <c r="D15" s="272"/>
      <c r="E15" s="272"/>
      <c r="F15" s="272"/>
      <c r="G15" s="272"/>
      <c r="H15" s="272"/>
      <c r="I15" s="272"/>
      <c r="J15" s="272"/>
      <c r="K15" s="261"/>
      <c r="M15" s="308"/>
    </row>
    <row r="16" ht="15" customHeight="1" s="74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ht="19" customHeight="1" s="74">
      <c r="A17" s="226" t="inlineStr">
        <is>
          <t>2. DCF MODEL — BASE CASE</t>
        </is>
      </c>
    </row>
    <row r="18" ht="15" customHeight="1" s="74">
      <c r="A18" s="322"/>
      <c r="B18" s="322" t="str">
        <f>IFERROR((Data!L13+1)&amp;"E","-")</f>
        <v>2027E</v>
      </c>
      <c r="C18" s="322" t="str">
        <f>IFERROR((Data!L13+2)&amp;"E","-")</f>
        <v>2028E</v>
      </c>
      <c r="D18" s="322" t="str">
        <f>IFERROR((Data!L13+3)&amp;"E","-")</f>
        <v>2029E</v>
      </c>
      <c r="E18" s="322" t="str">
        <f>IFERROR((Data!L13+4)&amp;"E","-")</f>
        <v>2030E</v>
      </c>
      <c r="F18" s="322" t="str">
        <f>IFERROR((Data!L13+5)&amp;"E","-")</f>
        <v>2031E</v>
      </c>
      <c r="G18" s="322"/>
      <c r="H18" s="315"/>
      <c r="I18" s="315"/>
      <c r="J18" s="315"/>
      <c r="K18" s="261"/>
    </row>
    <row r="19" ht="15" customHeight="1" s="74">
      <c r="A19" s="323" t="inlineStr">
        <is>
          <t>─ Assumptions (blue = inputs) ─</t>
        </is>
      </c>
      <c r="B19" s="324"/>
      <c r="C19" s="324"/>
      <c r="D19" s="324"/>
      <c r="E19" s="324"/>
      <c r="F19" s="324"/>
      <c r="G19" s="324"/>
      <c r="H19" s="272"/>
      <c r="I19" s="272"/>
      <c r="J19" s="272"/>
      <c r="K19" s="261"/>
    </row>
    <row r="20" ht="15" customHeight="1" s="74">
      <c r="A20" s="313" t="inlineStr">
        <is>
          <t>Revenue Growth Rate</t>
        </is>
      </c>
      <c r="B20" s="398" t="n">
        <v>0.08500000000000001</v>
      </c>
      <c r="C20" s="401" t="n">
        <v>0.08500000000000001</v>
      </c>
      <c r="D20" s="401" t="n">
        <v>0.08</v>
      </c>
      <c r="E20" s="401" t="n">
        <v>0.075</v>
      </c>
      <c r="F20" s="401" t="n">
        <v>0.07000000000000001</v>
      </c>
      <c r="G20" s="326"/>
      <c r="H20" s="315"/>
      <c r="I20" s="315"/>
      <c r="J20" s="315"/>
      <c r="K20" s="261"/>
      <c r="M20" s="308" t="inlineStr">
        <is>
          <t xml:space="preserve">market-researcher | valuation-agent | as-of: </t>
        </is>
      </c>
    </row>
    <row r="21" ht="15" customHeight="1" s="74">
      <c r="A21" s="313" t="inlineStr">
        <is>
          <t>EBITDA Margin</t>
        </is>
      </c>
      <c r="B21" s="398" t="n">
        <v>0.3</v>
      </c>
      <c r="C21" s="402" t="n">
        <v>0.31</v>
      </c>
      <c r="D21" s="402" t="n">
        <v>0.32</v>
      </c>
      <c r="E21" s="402" t="n">
        <v>0.33</v>
      </c>
      <c r="F21" s="402" t="n">
        <v>0.335</v>
      </c>
      <c r="G21" s="324"/>
      <c r="H21" s="272"/>
      <c r="I21" s="272"/>
      <c r="J21" s="272"/>
      <c r="K21" s="261"/>
      <c r="M21" s="308" t="inlineStr">
        <is>
          <t xml:space="preserve">market-researcher | valuation-agent | as-of: </t>
        </is>
      </c>
    </row>
    <row r="22" ht="15" customHeight="1" s="74">
      <c r="A22" s="313" t="inlineStr">
        <is>
          <t>D&amp;A / Revenue</t>
        </is>
      </c>
      <c r="B22" s="398" t="n">
        <v>0.08</v>
      </c>
      <c r="C22" s="401" t="n">
        <v>0.065</v>
      </c>
      <c r="D22" s="401" t="n">
        <v>0.05</v>
      </c>
      <c r="E22" s="401" t="n">
        <v>0.04</v>
      </c>
      <c r="F22" s="401" t="n">
        <v>0.035</v>
      </c>
      <c r="G22" s="326"/>
      <c r="H22" s="315"/>
      <c r="I22" s="315"/>
      <c r="J22" s="315"/>
      <c r="K22" s="261"/>
      <c r="M22" s="308" t="inlineStr">
        <is>
          <t xml:space="preserve">market-researcher | valuation-agent | as-of: </t>
        </is>
      </c>
    </row>
    <row r="23" ht="15" customHeight="1" s="74">
      <c r="A23" s="313" t="inlineStr">
        <is>
          <t>CapEx / Revenue</t>
        </is>
      </c>
      <c r="B23" s="398" t="n">
        <v>0.02</v>
      </c>
      <c r="C23" s="402" t="n">
        <v>0.02</v>
      </c>
      <c r="D23" s="402" t="n">
        <v>0.02</v>
      </c>
      <c r="E23" s="402" t="n">
        <v>0.02</v>
      </c>
      <c r="F23" s="402" t="n">
        <v>0.02</v>
      </c>
      <c r="G23" s="324"/>
      <c r="H23" s="272"/>
      <c r="I23" s="272"/>
      <c r="J23" s="272"/>
      <c r="K23" s="261"/>
      <c r="M23" s="308" t="inlineStr">
        <is>
          <t xml:space="preserve">market-researcher | valuation-agent | as-of: </t>
        </is>
      </c>
    </row>
    <row r="24" ht="15" customHeight="1" s="74">
      <c r="A24" s="313" t="inlineStr">
        <is>
          <t>Change in NWC / Revenue</t>
        </is>
      </c>
      <c r="B24" s="398" t="n">
        <v>0.005</v>
      </c>
      <c r="C24" s="401" t="n">
        <v>0.005</v>
      </c>
      <c r="D24" s="401" t="n">
        <v>0.005</v>
      </c>
      <c r="E24" s="401" t="n">
        <v>0.005</v>
      </c>
      <c r="F24" s="401" t="n">
        <v>0.005</v>
      </c>
      <c r="G24" s="326"/>
      <c r="H24" s="315"/>
      <c r="I24" s="315"/>
      <c r="J24" s="315"/>
      <c r="K24" s="261"/>
      <c r="M24" s="308" t="inlineStr">
        <is>
          <t xml:space="preserve">market-researcher | valuation-agent | as-of: </t>
        </is>
      </c>
    </row>
    <row r="25" ht="15" customHeight="1" s="74">
      <c r="A25" s="313" t="inlineStr">
        <is>
          <t>Effective Tax Rate</t>
        </is>
      </c>
      <c r="B25" s="398" t="n">
        <v>0.21</v>
      </c>
      <c r="C25" s="402" t="n">
        <v>0.21</v>
      </c>
      <c r="D25" s="402" t="n">
        <v>0.21</v>
      </c>
      <c r="E25" s="402" t="n">
        <v>0.21</v>
      </c>
      <c r="F25" s="402" t="n">
        <v>0.21</v>
      </c>
      <c r="G25" s="324"/>
      <c r="H25" s="272"/>
      <c r="I25" s="272"/>
      <c r="J25" s="272"/>
      <c r="K25" s="261"/>
      <c r="M25" s="308" t="inlineStr">
        <is>
          <t xml:space="preserve">market-researcher | valuation-agent | as-of: </t>
        </is>
      </c>
    </row>
    <row r="26" ht="15" customHeight="1" s="74">
      <c r="A26" s="313" t="inlineStr">
        <is>
          <t>Terminal Growth Rate</t>
        </is>
      </c>
      <c r="B26" s="398" t="n">
        <v>0.03</v>
      </c>
      <c r="C26" s="401"/>
      <c r="D26" s="401"/>
      <c r="E26" s="401"/>
      <c r="F26" s="401"/>
      <c r="G26" s="401"/>
      <c r="H26" s="315"/>
      <c r="I26" s="315"/>
      <c r="J26" s="315"/>
      <c r="K26" s="261"/>
      <c r="M26" s="308" t="inlineStr">
        <is>
          <t xml:space="preserve">market-researcher | valuation-agent | as-of: </t>
        </is>
      </c>
    </row>
    <row r="27" ht="15" customHeight="1" s="74">
      <c r="A27" s="313" t="inlineStr">
        <is>
          <t>Exit EV/EBITDA Multiple</t>
        </is>
      </c>
      <c r="B27" s="403" t="n">
        <v>15</v>
      </c>
      <c r="C27" s="404"/>
      <c r="D27" s="404"/>
      <c r="E27" s="404"/>
      <c r="F27" s="404"/>
      <c r="G27" s="404"/>
      <c r="H27" s="272"/>
      <c r="I27" s="272"/>
      <c r="J27" s="272"/>
      <c r="K27" s="261"/>
      <c r="M27" s="308" t="inlineStr">
        <is>
          <t xml:space="preserve">market-researcher | valuation-agent | as-of: </t>
        </is>
      </c>
    </row>
    <row r="28" ht="15" customHeight="1" s="74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ht="15" customHeight="1" s="74">
      <c r="A29" s="323" t="inlineStr">
        <is>
          <t>─ Projected Financials ($M) ─</t>
        </is>
      </c>
      <c r="B29" s="405"/>
      <c r="C29" s="324"/>
      <c r="D29" s="324"/>
      <c r="E29" s="324"/>
      <c r="F29" s="324"/>
      <c r="G29" s="324"/>
      <c r="H29" s="272"/>
      <c r="I29" s="272"/>
      <c r="J29" s="272"/>
      <c r="K29" s="261"/>
    </row>
    <row r="30" ht="15" customHeight="1" s="74">
      <c r="A30" s="331" t="inlineStr">
        <is>
          <t>Base Revenue (latest FY)</t>
        </is>
      </c>
      <c r="B30" s="406">
        <f>IFERROR(Data!L14,"-")</f>
        <v>41525.0</v>
      </c>
      <c r="C30" s="326"/>
      <c r="D30" s="326"/>
      <c r="E30" s="326"/>
      <c r="F30" s="326"/>
      <c r="G30" s="326"/>
      <c r="H30" s="315"/>
      <c r="I30" s="315"/>
      <c r="J30" s="315"/>
      <c r="K30" s="261"/>
      <c r="M30" s="308"/>
    </row>
    <row r="31" ht="15" customHeight="1" s="74">
      <c r="A31" s="318" t="inlineStr">
        <is>
          <t>Projected Revenue</t>
        </is>
      </c>
      <c r="B31" s="407">
        <f>IFERROR(B30*(1+B20),"-")</f>
        <v>45054.625</v>
      </c>
      <c r="C31" s="334">
        <f>IFERROR(B31*(1+C20),"-")</f>
        <v>48884.268124999995</v>
      </c>
      <c r="D31" s="334">
        <f>IFERROR(C31*(1+D20),"-")</f>
        <v>52795.009575</v>
      </c>
      <c r="E31" s="334">
        <f>IFERROR(D31*(1+E20),"-")</f>
        <v>56754.63529312499</v>
      </c>
      <c r="F31" s="334">
        <f>IFERROR(E31*(1+F20),"-")</f>
        <v>60727.45976364375</v>
      </c>
      <c r="G31" s="324"/>
      <c r="H31" s="272"/>
      <c r="I31" s="272"/>
      <c r="J31" s="272"/>
      <c r="K31" s="261"/>
      <c r="M31" s="308"/>
    </row>
    <row r="32" ht="15" customHeight="1" s="74">
      <c r="A32" s="321" t="inlineStr">
        <is>
          <t>Projected EBITDA</t>
        </is>
      </c>
      <c r="B32" s="407">
        <f>IFERROR(B31*B21,"-")</f>
        <v>13516.387499999999</v>
      </c>
      <c r="C32" s="335">
        <f>IFERROR(C31*C21,"-")</f>
        <v>15154.123118749998</v>
      </c>
      <c r="D32" s="335">
        <f>IFERROR(D31*D21,"-")</f>
        <v>16894.403064</v>
      </c>
      <c r="E32" s="335">
        <f>IFERROR(E31*E21,"-")</f>
        <v>18729.029646731247</v>
      </c>
      <c r="F32" s="335">
        <f>IFERROR(F31*F21,"-")</f>
        <v>20343.699020820655</v>
      </c>
      <c r="G32" s="326"/>
      <c r="H32" s="315"/>
      <c r="I32" s="315"/>
      <c r="J32" s="315"/>
      <c r="K32" s="261"/>
      <c r="M32" s="308"/>
    </row>
    <row r="33" ht="15" customHeight="1" s="74">
      <c r="A33" s="318" t="inlineStr">
        <is>
          <t>Projected D&amp;A</t>
        </is>
      </c>
      <c r="B33" s="407">
        <f>IFERROR(B31*B22,"-")</f>
        <v>3604.37</v>
      </c>
      <c r="C33" s="334">
        <f>IFERROR(C31*C22,"-")</f>
        <v>3177.4774281249997</v>
      </c>
      <c r="D33" s="334">
        <f>IFERROR(D31*D22,"-")</f>
        <v>2639.75047875</v>
      </c>
      <c r="E33" s="334">
        <f>IFERROR(E31*E22,"-")</f>
        <v>2270.185411725</v>
      </c>
      <c r="F33" s="334">
        <f>IFERROR(F31*F22,"-")</f>
        <v>2125.4610917275313</v>
      </c>
      <c r="G33" s="324"/>
      <c r="H33" s="272"/>
      <c r="I33" s="272"/>
      <c r="J33" s="272"/>
      <c r="K33" s="261"/>
    </row>
    <row r="34" ht="15" customHeight="1" s="74">
      <c r="A34" s="321" t="inlineStr">
        <is>
          <t>Projected EBIT</t>
        </is>
      </c>
      <c r="B34" s="407">
        <f>IFERROR(B32-B33,"-")</f>
        <v>9912.017499999998</v>
      </c>
      <c r="C34" s="335">
        <f>IFERROR(C32-C33,"-")</f>
        <v>11976.645690624999</v>
      </c>
      <c r="D34" s="335">
        <f>IFERROR(D32-D33,"-")</f>
        <v>14254.652585249998</v>
      </c>
      <c r="E34" s="335">
        <f>IFERROR(E32-E33,"-")</f>
        <v>16458.844235006247</v>
      </c>
      <c r="F34" s="335">
        <f>IFERROR(F32-F33,"-")</f>
        <v>18218.237929093124</v>
      </c>
      <c r="G34" s="326"/>
      <c r="H34" s="315"/>
      <c r="I34" s="315"/>
      <c r="J34" s="315"/>
      <c r="K34" s="261"/>
      <c r="M34" s="308"/>
    </row>
    <row r="35" ht="15" customHeight="1" s="74">
      <c r="A35" s="318" t="inlineStr">
        <is>
          <t>Tax on EBIT</t>
        </is>
      </c>
      <c r="B35" s="407">
        <f>IFERROR(B34*B25,"-")</f>
        <v>2081.5236749999995</v>
      </c>
      <c r="C35" s="334">
        <f>IFERROR(C34*C25,"-")</f>
        <v>2515.0955950312496</v>
      </c>
      <c r="D35" s="334">
        <f>IFERROR(D34*D25,"-")</f>
        <v>2993.4770429024993</v>
      </c>
      <c r="E35" s="334">
        <f>IFERROR(E34*E25,"-")</f>
        <v>3456.357289351312</v>
      </c>
      <c r="F35" s="334">
        <f>IFERROR(F34*F25,"-")</f>
        <v>3825.829965109556</v>
      </c>
      <c r="G35" s="324"/>
      <c r="H35" s="272"/>
      <c r="I35" s="272"/>
      <c r="J35" s="272"/>
      <c r="K35" s="261"/>
    </row>
    <row r="36" ht="15" customHeight="1" s="74">
      <c r="A36" s="331" t="inlineStr">
        <is>
          <t>NOPAT (EBIT × (1-t))</t>
        </is>
      </c>
      <c r="B36" s="406">
        <f>IFERROR(B34-B35,"-")</f>
        <v>7830.493824999999</v>
      </c>
      <c r="C36" s="336">
        <f>IFERROR(C34-C35,"-")</f>
        <v>9461.55009559375</v>
      </c>
      <c r="D36" s="336">
        <f>IFERROR(D34-D35,"-")</f>
        <v>11261.175542347499</v>
      </c>
      <c r="E36" s="336">
        <f>IFERROR(E34-E35,"-")</f>
        <v>13002.486945654935</v>
      </c>
      <c r="F36" s="336">
        <f>IFERROR(F34-F35,"-")</f>
        <v>14392.407963983569</v>
      </c>
      <c r="G36" s="326"/>
      <c r="H36" s="315"/>
      <c r="I36" s="315"/>
      <c r="J36" s="315"/>
      <c r="K36" s="261"/>
      <c r="M36" s="308"/>
    </row>
    <row r="37" ht="15" customHeight="1" s="74">
      <c r="A37" s="318" t="inlineStr">
        <is>
          <t>(+) D&amp;A</t>
        </is>
      </c>
      <c r="B37" s="407">
        <f>IFERROR(B33,"-")</f>
        <v>3604.37</v>
      </c>
      <c r="C37" s="334">
        <f>IFERROR(C33,"-")</f>
        <v>3177.4774281249997</v>
      </c>
      <c r="D37" s="334">
        <f>IFERROR(D33,"-")</f>
        <v>2639.75047875</v>
      </c>
      <c r="E37" s="334">
        <f>IFERROR(E33,"-")</f>
        <v>2270.185411725</v>
      </c>
      <c r="F37" s="334">
        <f>IFERROR(F33,"-")</f>
        <v>2125.4610917275313</v>
      </c>
      <c r="G37" s="324"/>
      <c r="H37" s="272"/>
      <c r="I37" s="272"/>
      <c r="J37" s="272"/>
      <c r="K37" s="261"/>
    </row>
    <row r="38" ht="15" customHeight="1" s="74">
      <c r="A38" s="321" t="inlineStr">
        <is>
          <t>(-) Capital Expenditures</t>
        </is>
      </c>
      <c r="B38" s="407">
        <f>IFERROR(B31*B23,"-")</f>
        <v>901.0925</v>
      </c>
      <c r="C38" s="335">
        <f>IFERROR(C31*C23,"-")</f>
        <v>977.6853624999999</v>
      </c>
      <c r="D38" s="335">
        <f>IFERROR(D31*D23,"-")</f>
        <v>1055.9001915</v>
      </c>
      <c r="E38" s="335">
        <f>IFERROR(E31*E23,"-")</f>
        <v>1135.0927058625</v>
      </c>
      <c r="F38" s="335">
        <f>IFERROR(F31*F23,"-")</f>
        <v>1214.549195272875</v>
      </c>
      <c r="G38" s="326"/>
      <c r="H38" s="315"/>
      <c r="I38" s="315"/>
      <c r="J38" s="315"/>
      <c r="K38" s="261"/>
    </row>
    <row r="39" ht="15" customHeight="1" s="74">
      <c r="A39" s="318" t="inlineStr">
        <is>
          <t>(-) Change in NWC</t>
        </is>
      </c>
      <c r="B39" s="407">
        <f>IFERROR(B31*B24,"-")</f>
        <v>225.273125</v>
      </c>
      <c r="C39" s="334">
        <f>IFERROR(C31*C24,"-")</f>
        <v>244.42134062499997</v>
      </c>
      <c r="D39" s="334">
        <f>IFERROR(D31*D24,"-")</f>
        <v>263.975047875</v>
      </c>
      <c r="E39" s="334">
        <f>IFERROR(E31*E24,"-")</f>
        <v>283.773176465625</v>
      </c>
      <c r="F39" s="334">
        <f>IFERROR(F31*F24,"-")</f>
        <v>303.63729881821877</v>
      </c>
      <c r="G39" s="324"/>
      <c r="H39" s="272"/>
      <c r="I39" s="272"/>
      <c r="J39" s="272"/>
      <c r="K39" s="261"/>
    </row>
    <row r="40" ht="15" customHeight="1" s="74">
      <c r="A40" s="331" t="inlineStr">
        <is>
          <t>Unlevered Free Cash Flow (UFCF)</t>
        </is>
      </c>
      <c r="B40" s="406">
        <f>IFERROR(B36+B37-B38-B39,"-")</f>
        <v>10308.498199999998</v>
      </c>
      <c r="C40" s="336">
        <f>IFERROR(C36+C37-C38-C39,"-")</f>
        <v>11416.920820593748</v>
      </c>
      <c r="D40" s="336">
        <f>IFERROR(D36+D37-D38-D39,"-")</f>
        <v>12581.0507817225</v>
      </c>
      <c r="E40" s="336">
        <f>IFERROR(E36+E37-E38-E39,"-")</f>
        <v>13853.80647505181</v>
      </c>
      <c r="F40" s="336">
        <f>IFERROR(F36+F37-F38-F39,"-")</f>
        <v>14999.682561620006</v>
      </c>
      <c r="G40" s="326"/>
      <c r="H40" s="315"/>
      <c r="I40" s="315"/>
      <c r="J40" s="315"/>
      <c r="K40" s="261"/>
      <c r="M40" s="308"/>
    </row>
    <row r="41">
      <c r="A41" s="2"/>
      <c r="B41" s="408"/>
      <c r="C41" s="2"/>
      <c r="D41" s="2"/>
      <c r="E41" s="2"/>
      <c r="F41" s="2"/>
      <c r="G41" s="2"/>
      <c r="H41" s="2"/>
      <c r="I41" s="2"/>
      <c r="J41" s="2"/>
    </row>
    <row r="42" ht="15" customHeight="1" s="74">
      <c r="A42" s="337" t="inlineStr">
        <is>
          <t>─ Terminal Value ─</t>
        </is>
      </c>
      <c r="B42" s="405"/>
      <c r="C42" s="326"/>
      <c r="D42" s="326"/>
      <c r="E42" s="326"/>
      <c r="F42" s="326"/>
      <c r="G42" s="326"/>
      <c r="H42" s="315"/>
      <c r="I42" s="315"/>
      <c r="J42" s="315"/>
      <c r="K42" s="261"/>
    </row>
    <row r="43" ht="15" customHeight="1" s="74">
      <c r="A43" s="318" t="inlineStr">
        <is>
          <t>TV: Perpetuity Growth Method</t>
        </is>
      </c>
      <c r="B43" s="407">
        <f>IFERROR(F40*(1+B26)/($B$15-B26),"-")</f>
        <v>252119.2664034179</v>
      </c>
      <c r="C43" s="324"/>
      <c r="D43" s="324"/>
      <c r="E43" s="324"/>
      <c r="F43" s="324"/>
      <c r="G43" s="324"/>
      <c r="H43" s="272"/>
      <c r="I43" s="272"/>
      <c r="J43" s="272"/>
      <c r="K43" s="261"/>
      <c r="M43" s="308"/>
    </row>
    <row r="44" ht="15" customHeight="1" s="74">
      <c r="A44" s="321" t="inlineStr">
        <is>
          <t>TV: Exit Multiple Method</t>
        </is>
      </c>
      <c r="B44" s="407">
        <f>IFERROR(F32*B27,"-")</f>
        <v>305155.4853123098</v>
      </c>
      <c r="C44" s="326"/>
      <c r="D44" s="326"/>
      <c r="E44" s="326"/>
      <c r="F44" s="326"/>
      <c r="G44" s="326"/>
      <c r="H44" s="315"/>
      <c r="I44" s="315"/>
      <c r="J44" s="315"/>
      <c r="K44" s="261"/>
      <c r="M44" s="308"/>
    </row>
    <row r="45" ht="15" customHeight="1" s="74">
      <c r="A45" s="318" t="inlineStr">
        <is>
          <t>TV Divergence (%)</t>
        </is>
      </c>
      <c r="B45" s="409">
        <f>IFERROR((B43-B44)/B44,"-")</f>
        <v>-0.17380064085891256</v>
      </c>
      <c r="C45" s="324"/>
      <c r="D45" s="324"/>
      <c r="E45" s="324"/>
      <c r="F45" s="324"/>
      <c r="G45" s="324"/>
      <c r="H45" s="272"/>
      <c r="I45" s="272"/>
      <c r="J45" s="272"/>
      <c r="K45" s="261"/>
    </row>
    <row r="46" ht="15" customHeight="1" s="74">
      <c r="A46" s="331" t="inlineStr">
        <is>
          <t>Selected Terminal Value (avg)</t>
        </is>
      </c>
      <c r="B46" s="406">
        <f>IFERROR((B43+B44)/2,"-")</f>
        <v>278637.37585786387</v>
      </c>
      <c r="C46" s="326"/>
      <c r="D46" s="326"/>
      <c r="E46" s="326"/>
      <c r="F46" s="326"/>
      <c r="G46" s="326"/>
      <c r="H46" s="315"/>
      <c r="I46" s="315"/>
      <c r="J46" s="315"/>
      <c r="K46" s="261"/>
      <c r="M46" s="308"/>
    </row>
    <row r="47" ht="15" customHeight="1" s="74">
      <c r="A47" s="318" t="inlineStr">
        <is>
          <t>Implied TV / EBITDA_5</t>
        </is>
      </c>
      <c r="B47" s="410">
        <f>IFERROR(B46/F32,"-")</f>
        <v>13.696495193558157</v>
      </c>
      <c r="C47" s="324"/>
      <c r="D47" s="324"/>
      <c r="E47" s="324"/>
      <c r="F47" s="324"/>
      <c r="G47" s="324"/>
      <c r="H47" s="272"/>
      <c r="I47" s="272"/>
      <c r="J47" s="272"/>
      <c r="K47" s="261"/>
    </row>
    <row r="48" ht="15" customHeight="1" s="74">
      <c r="A48" s="321" t="inlineStr">
        <is>
          <t>Terminal Value as % of EV</t>
        </is>
      </c>
      <c r="B48" s="411">
        <f>IFERROR(B54/B55,"-")</f>
        <v>0.7889048566400843</v>
      </c>
      <c r="C48" s="326"/>
      <c r="D48" s="326"/>
      <c r="E48" s="326"/>
      <c r="F48" s="326"/>
      <c r="G48" s="326"/>
      <c r="H48" s="315"/>
      <c r="I48" s="315"/>
      <c r="J48" s="315"/>
      <c r="K48" s="261"/>
      <c r="M48" s="308"/>
    </row>
    <row r="49">
      <c r="A49" s="2"/>
      <c r="B49" s="408"/>
      <c r="C49" s="2"/>
      <c r="D49" s="2"/>
      <c r="E49" s="2"/>
      <c r="F49" s="2"/>
      <c r="G49" s="2"/>
      <c r="H49" s="2"/>
      <c r="I49" s="2"/>
      <c r="J49" s="2"/>
    </row>
    <row r="50" ht="15" customHeight="1" s="74">
      <c r="A50" s="337" t="inlineStr">
        <is>
          <t>─ Present Value &amp; Equity Bridge ─</t>
        </is>
      </c>
      <c r="B50" s="405"/>
      <c r="C50" s="326"/>
      <c r="D50" s="326"/>
      <c r="E50" s="326"/>
      <c r="F50" s="326"/>
      <c r="G50" s="326"/>
      <c r="H50" s="315"/>
      <c r="I50" s="315"/>
      <c r="J50" s="315"/>
      <c r="K50" s="261"/>
    </row>
    <row r="51" ht="15" customHeight="1" s="74">
      <c r="A51" s="318" t="inlineStr">
        <is>
          <t>Discount Factor (1/(1+WACC)^n)</t>
        </is>
      </c>
      <c r="B51" s="412">
        <f>IFERROR(1/(1+$B$15)^1,"-")</f>
        <v>0.9163557574175413</v>
      </c>
      <c r="C51" s="342">
        <f>IFERROR(1/(1+$B$15)^2,"-")</f>
        <v>0.8397078741522757</v>
      </c>
      <c r="D51" s="342">
        <f>IFERROR(1/(1+$B$15)^3,"-")</f>
        <v>0.769471145028282</v>
      </c>
      <c r="E51" s="342">
        <f>IFERROR(1/(1+$B$15)^4,"-")</f>
        <v>0.705109313913334</v>
      </c>
      <c r="F51" s="342">
        <f>IFERROR(1/(1+$B$15)^5,"-")</f>
        <v>0.6461309794132161</v>
      </c>
      <c r="G51" s="324"/>
      <c r="H51" s="272"/>
      <c r="I51" s="272"/>
      <c r="J51" s="272"/>
      <c r="K51" s="261"/>
    </row>
    <row r="52" ht="15" customHeight="1" s="74">
      <c r="A52" s="321" t="inlineStr">
        <is>
          <t>PV of UFCF</t>
        </is>
      </c>
      <c r="B52" s="407">
        <f>IFERROR(B40*B51,"-")</f>
        <v>9446.251675898358</v>
      </c>
      <c r="C52" s="335">
        <f>IFERROR(C40*C51,"-")</f>
        <v>9586.87831162563</v>
      </c>
      <c r="D52" s="335">
        <f>IFERROR(D40*D51,"-")</f>
        <v>9680.755550670974</v>
      </c>
      <c r="E52" s="335">
        <f>IFERROR(E40*E51,"-")</f>
        <v>9768.447978711885</v>
      </c>
      <c r="F52" s="335">
        <f>IFERROR(F40*F51,"-")</f>
        <v>9691.759584426873</v>
      </c>
      <c r="G52" s="326"/>
      <c r="H52" s="315"/>
      <c r="I52" s="315"/>
      <c r="J52" s="315"/>
      <c r="K52" s="261"/>
      <c r="M52" s="308"/>
    </row>
    <row r="53" ht="15" customHeight="1" s="74">
      <c r="A53" s="343" t="inlineStr">
        <is>
          <t>Sum of PV of UFCFs</t>
        </is>
      </c>
      <c r="B53" s="406">
        <f>IFERROR(B52+C52+D52+E52+F52,"-")</f>
        <v>48174.09310133372</v>
      </c>
      <c r="C53" s="324"/>
      <c r="D53" s="324"/>
      <c r="E53" s="324"/>
      <c r="F53" s="324"/>
      <c r="G53" s="324"/>
      <c r="H53" s="272"/>
      <c r="I53" s="272"/>
      <c r="J53" s="272"/>
      <c r="K53" s="261"/>
      <c r="M53" s="308"/>
    </row>
    <row r="54" ht="15" customHeight="1" s="74">
      <c r="A54" s="321" t="inlineStr">
        <is>
          <t>PV of Terminal Value</t>
        </is>
      </c>
      <c r="B54" s="407">
        <f>IFERROR(B46*F51,"-")</f>
        <v>180036.24056416997</v>
      </c>
      <c r="C54" s="326"/>
      <c r="D54" s="326"/>
      <c r="E54" s="326"/>
      <c r="F54" s="326"/>
      <c r="G54" s="326"/>
      <c r="H54" s="315"/>
      <c r="I54" s="315"/>
      <c r="J54" s="315"/>
      <c r="K54" s="261"/>
      <c r="M54" s="308"/>
    </row>
    <row r="55" ht="15" customHeight="1" s="74">
      <c r="A55" s="343" t="inlineStr">
        <is>
          <t>Enterprise Value (EV)</t>
        </is>
      </c>
      <c r="B55" s="406">
        <f>IFERROR(B53+B54,"-")</f>
        <v>228210.33366550368</v>
      </c>
      <c r="C55" s="324"/>
      <c r="D55" s="324"/>
      <c r="E55" s="324"/>
      <c r="F55" s="324"/>
      <c r="G55" s="324"/>
      <c r="H55" s="272"/>
      <c r="I55" s="272"/>
      <c r="J55" s="272"/>
      <c r="K55" s="261"/>
      <c r="M55" s="308"/>
    </row>
    <row r="56" ht="15" customHeight="1" s="74">
      <c r="A56" s="321" t="inlineStr">
        <is>
          <t>(-) Net Debt (latest)</t>
        </is>
      </c>
      <c r="B56" s="407">
        <f>IFERROR(Data!L36,"-")</f>
        <v>4874.0</v>
      </c>
      <c r="C56" s="326"/>
      <c r="D56" s="326"/>
      <c r="E56" s="326"/>
      <c r="F56" s="326"/>
      <c r="G56" s="326"/>
      <c r="H56" s="315"/>
      <c r="I56" s="315"/>
      <c r="J56" s="315"/>
      <c r="K56" s="261"/>
      <c r="M56" s="308"/>
    </row>
    <row r="57" ht="15" customHeight="1" s="74">
      <c r="A57" s="318" t="inlineStr">
        <is>
          <t>(-) Minority Interest</t>
        </is>
      </c>
      <c r="B57" s="407">
        <f>IFERROR(Data!L42,"-")</f>
      </c>
      <c r="C57" s="324"/>
      <c r="D57" s="324"/>
      <c r="E57" s="324"/>
      <c r="F57" s="324"/>
      <c r="G57" s="324"/>
      <c r="H57" s="272"/>
      <c r="I57" s="272"/>
      <c r="J57" s="272"/>
      <c r="K57" s="261"/>
      <c r="M57" s="308"/>
    </row>
    <row r="58" ht="15" customHeight="1" s="74">
      <c r="A58" s="313" t="inlineStr">
        <is>
          <t>(+) Non-operating Assets</t>
        </is>
      </c>
      <c r="B58" s="413"/>
      <c r="C58" s="326"/>
      <c r="D58" s="326"/>
      <c r="E58" s="326"/>
      <c r="F58" s="326"/>
      <c r="G58" s="326"/>
      <c r="H58" s="315"/>
      <c r="I58" s="315"/>
      <c r="J58" s="315"/>
      <c r="K58" s="261"/>
    </row>
    <row r="59" ht="15" customHeight="1" s="74">
      <c r="A59" s="343" t="inlineStr">
        <is>
          <t>Equity Value</t>
        </is>
      </c>
      <c r="B59" s="406">
        <f>IFERROR(B55-B56-B57+B58,"-")</f>
        <v>223336.33366550368</v>
      </c>
      <c r="C59" s="324"/>
      <c r="D59" s="324"/>
      <c r="E59" s="324"/>
      <c r="F59" s="324"/>
      <c r="G59" s="324"/>
      <c r="H59" s="272"/>
      <c r="I59" s="272"/>
      <c r="J59" s="272"/>
      <c r="K59" s="261"/>
      <c r="M59" s="308"/>
    </row>
    <row r="60" ht="15" customHeight="1" s="74">
      <c r="A60" s="321" t="inlineStr">
        <is>
          <t>Diluted Shares Outstanding (M)</t>
        </is>
      </c>
      <c r="B60" s="414">
        <f>IFERROR(Market!B11,"-")</f>
        <v>819.0</v>
      </c>
      <c r="C60" s="326"/>
      <c r="D60" s="326"/>
      <c r="E60" s="326"/>
      <c r="F60" s="326"/>
      <c r="G60" s="326"/>
      <c r="H60" s="315"/>
      <c r="I60" s="315"/>
      <c r="J60" s="315"/>
      <c r="K60" s="261"/>
    </row>
    <row r="61" ht="15" customHeight="1" s="74">
      <c r="A61" s="343" t="inlineStr">
        <is>
          <t>DCF Fair Value / Share</t>
        </is>
      </c>
      <c r="B61" s="415">
        <f>IFERROR(B59/B60,"-")</f>
        <v>272.6939360995161</v>
      </c>
      <c r="C61" s="324"/>
      <c r="D61" s="324"/>
      <c r="E61" s="324"/>
      <c r="F61" s="324"/>
      <c r="G61" s="324"/>
      <c r="H61" s="272"/>
      <c r="I61" s="272"/>
      <c r="J61" s="272"/>
      <c r="K61" s="261"/>
      <c r="M61" s="308"/>
    </row>
    <row r="62" ht="15" customHeight="1" s="74">
      <c r="A62" s="321" t="inlineStr">
        <is>
          <t>Upside / Downside vs Price</t>
        </is>
      </c>
      <c r="B62" s="409">
        <f>IFERROR(B61/Data!B8-1,"-")</f>
        <v>0.816264393895805</v>
      </c>
      <c r="C62" s="326"/>
      <c r="D62" s="326"/>
      <c r="E62" s="326"/>
      <c r="F62" s="326"/>
      <c r="G62" s="326"/>
      <c r="H62" s="315"/>
      <c r="I62" s="315"/>
      <c r="J62" s="315"/>
      <c r="K62" s="261"/>
      <c r="M62" s="308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ht="19" customHeight="1" s="74">
      <c r="A64" s="226" t="inlineStr">
        <is>
          <t>3a. DCF — BEAR CASE</t>
        </is>
      </c>
    </row>
    <row r="65" ht="15" customHeight="1" s="74">
      <c r="A65" s="45"/>
      <c r="B65" s="45"/>
      <c r="C65" s="45"/>
      <c r="D65" s="45"/>
      <c r="E65" s="45"/>
      <c r="F65" s="45"/>
      <c r="G65" s="45"/>
      <c r="H65" s="2"/>
      <c r="I65" s="2"/>
      <c r="J65" s="2"/>
    </row>
    <row r="66" ht="15" customHeight="1" s="74">
      <c r="A66" s="337" t="inlineStr">
        <is>
          <t>─ BEAR Assumptions ─</t>
        </is>
      </c>
      <c r="B66" s="326"/>
      <c r="C66" s="326"/>
      <c r="D66" s="326"/>
      <c r="E66" s="326"/>
      <c r="F66" s="326"/>
      <c r="G66" s="326"/>
      <c r="H66" s="315"/>
      <c r="I66" s="315"/>
      <c r="J66" s="315"/>
      <c r="K66" s="261"/>
    </row>
    <row r="67" ht="15" customHeight="1" s="74">
      <c r="A67" s="313" t="inlineStr">
        <is>
          <t>Revenue Growth Rate</t>
        </is>
      </c>
      <c r="B67" s="398" t="n">
        <v>0.055</v>
      </c>
      <c r="C67" s="402"/>
      <c r="D67" s="402"/>
      <c r="E67" s="402"/>
      <c r="F67" s="402"/>
      <c r="G67" s="324"/>
      <c r="H67" s="272"/>
      <c r="I67" s="272"/>
      <c r="J67" s="272"/>
      <c r="K67" s="261"/>
      <c r="M67" s="308" t="inlineStr">
        <is>
          <t>valuation-agent | bear/bull scenario input | 2026-06-23</t>
        </is>
      </c>
    </row>
    <row r="68" ht="15" customHeight="1" s="74">
      <c r="A68" s="313" t="inlineStr">
        <is>
          <t>EBITDA Margin</t>
        </is>
      </c>
      <c r="B68" s="398" t="n">
        <v>0.3</v>
      </c>
      <c r="C68" s="401"/>
      <c r="D68" s="401"/>
      <c r="E68" s="401"/>
      <c r="F68" s="401"/>
      <c r="G68" s="326"/>
      <c r="H68" s="315"/>
      <c r="I68" s="315"/>
      <c r="J68" s="315"/>
      <c r="K68" s="261"/>
      <c r="M68" s="308" t="inlineStr">
        <is>
          <t>valuation-agent | bear/bull scenario input | 2026-06-23</t>
        </is>
      </c>
    </row>
    <row r="69" ht="15" customHeight="1" s="74">
      <c r="A69" s="313" t="inlineStr">
        <is>
          <t>D&amp;A / Revenue</t>
        </is>
      </c>
      <c r="B69" s="398" t="n">
        <v>0.055</v>
      </c>
      <c r="C69" s="402"/>
      <c r="D69" s="402"/>
      <c r="E69" s="402"/>
      <c r="F69" s="402"/>
      <c r="G69" s="324"/>
      <c r="H69" s="272"/>
      <c r="I69" s="272"/>
      <c r="J69" s="272"/>
      <c r="K69" s="261"/>
      <c r="M69" s="308" t="inlineStr">
        <is>
          <t>valuation-agent | bear/bull scenario input | 2026-06-23</t>
        </is>
      </c>
    </row>
    <row r="70" ht="15" customHeight="1" s="74">
      <c r="A70" s="313" t="inlineStr">
        <is>
          <t>CapEx / Revenue</t>
        </is>
      </c>
      <c r="B70" s="398" t="n">
        <v>0.02</v>
      </c>
      <c r="C70" s="401"/>
      <c r="D70" s="401"/>
      <c r="E70" s="401"/>
      <c r="F70" s="401"/>
      <c r="G70" s="326"/>
      <c r="H70" s="315"/>
      <c r="I70" s="315"/>
      <c r="J70" s="315"/>
      <c r="K70" s="261"/>
      <c r="M70" s="308" t="inlineStr">
        <is>
          <t>valuation-agent | bear/bull scenario input | 2026-06-23</t>
        </is>
      </c>
    </row>
    <row r="71" ht="15" customHeight="1" s="74">
      <c r="A71" s="313" t="inlineStr">
        <is>
          <t>Change in NWC / Revenue</t>
        </is>
      </c>
      <c r="B71" s="398" t="n">
        <v>0.005</v>
      </c>
      <c r="C71" s="402"/>
      <c r="D71" s="402"/>
      <c r="E71" s="402"/>
      <c r="F71" s="402"/>
      <c r="G71" s="324"/>
      <c r="H71" s="272"/>
      <c r="I71" s="272"/>
      <c r="J71" s="272"/>
      <c r="K71" s="261"/>
      <c r="M71" s="308" t="inlineStr">
        <is>
          <t>valuation-agent | bear/bull scenario input | 2026-06-23</t>
        </is>
      </c>
    </row>
    <row r="72" ht="15" customHeight="1" s="74">
      <c r="A72" s="313" t="inlineStr">
        <is>
          <t>Effective Tax Rate</t>
        </is>
      </c>
      <c r="B72" s="398" t="n">
        <v>0.21</v>
      </c>
      <c r="C72" s="401"/>
      <c r="D72" s="401"/>
      <c r="E72" s="401"/>
      <c r="F72" s="401"/>
      <c r="G72" s="326"/>
      <c r="H72" s="315"/>
      <c r="I72" s="315"/>
      <c r="J72" s="315"/>
      <c r="K72" s="261"/>
      <c r="M72" s="308" t="inlineStr">
        <is>
          <t>valuation-agent | bear/bull scenario input | 2026-06-23</t>
        </is>
      </c>
    </row>
    <row r="73" ht="15" customHeight="1" s="74">
      <c r="A73" s="313" t="inlineStr">
        <is>
          <t>Terminal Growth Rate</t>
        </is>
      </c>
      <c r="B73" s="398" t="n">
        <v>0.025</v>
      </c>
      <c r="C73" s="402"/>
      <c r="D73" s="402"/>
      <c r="E73" s="402"/>
      <c r="F73" s="402"/>
      <c r="G73" s="402"/>
      <c r="H73" s="272"/>
      <c r="I73" s="272"/>
      <c r="J73" s="272"/>
      <c r="K73" s="261"/>
      <c r="M73" s="308" t="inlineStr">
        <is>
          <t>valuation-agent | bear/bull scenario input | 2026-06-23</t>
        </is>
      </c>
    </row>
    <row r="74" ht="15" customHeight="1" s="74">
      <c r="A74" s="313" t="inlineStr">
        <is>
          <t>Exit EV/EBITDA Multiple</t>
        </is>
      </c>
      <c r="B74" s="403" t="n">
        <v>13</v>
      </c>
      <c r="C74" s="416"/>
      <c r="D74" s="416"/>
      <c r="E74" s="416"/>
      <c r="F74" s="416"/>
      <c r="G74" s="416"/>
      <c r="H74" s="315"/>
      <c r="I74" s="315"/>
      <c r="J74" s="315"/>
      <c r="K74" s="261"/>
      <c r="M74" s="308" t="inlineStr">
        <is>
          <t>valuation-agent | bear/bull scenario input | 2026-06-23</t>
        </is>
      </c>
    </row>
    <row r="75">
      <c r="A75" s="2"/>
      <c r="B75" s="408"/>
      <c r="C75" s="2"/>
      <c r="D75" s="2"/>
      <c r="E75" s="2"/>
      <c r="F75" s="2"/>
      <c r="G75" s="2"/>
      <c r="H75" s="2"/>
      <c r="I75" s="2"/>
      <c r="J75" s="2"/>
    </row>
    <row r="76" ht="15" customHeight="1" s="74">
      <c r="A76" s="337" t="inlineStr">
        <is>
          <t>─ BEAR Projected UFCF ─</t>
        </is>
      </c>
      <c r="B76" s="405"/>
      <c r="C76" s="326"/>
      <c r="D76" s="326"/>
      <c r="E76" s="326"/>
      <c r="F76" s="326"/>
      <c r="G76" s="326"/>
      <c r="H76" s="315"/>
      <c r="I76" s="315"/>
      <c r="J76" s="315"/>
      <c r="K76" s="261"/>
    </row>
    <row r="77" ht="15" customHeight="1" s="74">
      <c r="A77" s="318" t="inlineStr">
        <is>
          <t>Projected Revenue</t>
        </is>
      </c>
      <c r="B77" s="407">
        <f>IFERROR(B30*(1+$B$67),"-")</f>
        <v>43808.875</v>
      </c>
      <c r="C77" s="334">
        <f>IFERROR(B77*(1+$B$67),"-")</f>
        <v>46218.363124999996</v>
      </c>
      <c r="D77" s="334">
        <f>IFERROR(C77*(1+$B$67),"-")</f>
        <v>48760.373096874995</v>
      </c>
      <c r="E77" s="334">
        <f>IFERROR(D77*(1+$B$67),"-")</f>
        <v>51442.19361720312</v>
      </c>
      <c r="F77" s="334">
        <f>IFERROR(E77*(1+$B$67),"-")</f>
        <v>54271.51426614929</v>
      </c>
      <c r="G77" s="324"/>
      <c r="H77" s="272"/>
      <c r="I77" s="272"/>
      <c r="J77" s="272"/>
      <c r="K77" s="261"/>
    </row>
    <row r="78" ht="15" customHeight="1" s="74">
      <c r="A78" s="321" t="inlineStr">
        <is>
          <t>Projected EBITDA</t>
        </is>
      </c>
      <c r="B78" s="407">
        <f>IFERROR(B77*$B$68,"-")</f>
        <v>13142.6625</v>
      </c>
      <c r="C78" s="335">
        <f>IFERROR(C77*$B$68,"-")</f>
        <v>13865.508937499999</v>
      </c>
      <c r="D78" s="335">
        <f>IFERROR(D77*$B$68,"-")</f>
        <v>14628.111929062497</v>
      </c>
      <c r="E78" s="335">
        <f>IFERROR(E77*$B$68,"-")</f>
        <v>15432.658085160936</v>
      </c>
      <c r="F78" s="335">
        <f>IFERROR(F77*$B$68,"-")</f>
        <v>16281.454279844786</v>
      </c>
      <c r="G78" s="326"/>
      <c r="H78" s="315"/>
      <c r="I78" s="315"/>
      <c r="J78" s="315"/>
      <c r="K78" s="261"/>
    </row>
    <row r="79" ht="15" customHeight="1" s="74">
      <c r="A79" s="318" t="inlineStr">
        <is>
          <t>Projected EBIT</t>
        </is>
      </c>
      <c r="B79" s="407">
        <f>IFERROR(B78-B77*$B$69,"-")</f>
        <v>10733.174375</v>
      </c>
      <c r="C79" s="334">
        <f>IFERROR(C78-C77*$B$69,"-")</f>
        <v>11323.498965625</v>
      </c>
      <c r="D79" s="334">
        <f>IFERROR(D78-D77*$B$69,"-")</f>
        <v>11946.291408734372</v>
      </c>
      <c r="E79" s="334">
        <f>IFERROR(E78-E77*$B$69,"-")</f>
        <v>12603.337436214764</v>
      </c>
      <c r="F79" s="334">
        <f>IFERROR(F78-F77*$B$69,"-")</f>
        <v>13296.520995206574</v>
      </c>
      <c r="G79" s="324"/>
      <c r="H79" s="272"/>
      <c r="I79" s="272"/>
      <c r="J79" s="272"/>
      <c r="K79" s="261"/>
    </row>
    <row r="80" ht="15" customHeight="1" s="74">
      <c r="A80" s="331" t="inlineStr">
        <is>
          <t>UFCF</t>
        </is>
      </c>
      <c r="B80" s="406">
        <f>IFERROR(B79*(1-$B$72)+B77*$B$69-B77*$B$70-B77*$B$71,"-")</f>
        <v>9793.47400625</v>
      </c>
      <c r="C80" s="336">
        <f>IFERROR(C79*(1-$B$72)+C77*$B$69-C77*$B$70-C77*$B$71,"-")</f>
        <v>10332.11507659375</v>
      </c>
      <c r="D80" s="336">
        <f>IFERROR(D79*(1-$B$72)+D77*$B$69-D77*$B$70-D77*$B$71,"-")</f>
        <v>10900.381405806405</v>
      </c>
      <c r="E80" s="336">
        <f>IFERROR(E79*(1-$B$72)+E77*$B$69-E77*$B$70-E77*$B$71,"-")</f>
        <v>11499.902383125756</v>
      </c>
      <c r="F80" s="336">
        <f>IFERROR(F79*(1-$B$72)+F77*$B$69-F77*$B$70-F77*$B$71,"-")</f>
        <v>12132.397014197673</v>
      </c>
      <c r="G80" s="326"/>
      <c r="H80" s="315"/>
      <c r="I80" s="315"/>
      <c r="J80" s="315"/>
      <c r="K80" s="261"/>
    </row>
    <row r="81">
      <c r="A81" s="2"/>
      <c r="B81" s="408"/>
      <c r="C81" s="2"/>
      <c r="D81" s="2"/>
      <c r="E81" s="2"/>
      <c r="F81" s="2"/>
      <c r="G81" s="2"/>
      <c r="H81" s="2"/>
      <c r="I81" s="2"/>
      <c r="J81" s="2"/>
    </row>
    <row r="82" ht="15" customHeight="1" s="74">
      <c r="A82" s="321" t="inlineStr">
        <is>
          <t>TV (Perpetuity Growth)</t>
        </is>
      </c>
      <c r="B82" s="407">
        <f>IFERROR(F80*(1+$B$73)/($B$15-$B$73),"-")</f>
        <v>187626.0185455508</v>
      </c>
      <c r="C82" s="326"/>
      <c r="D82" s="326"/>
      <c r="E82" s="326"/>
      <c r="F82" s="326"/>
      <c r="G82" s="326"/>
      <c r="H82" s="315"/>
      <c r="I82" s="315"/>
      <c r="J82" s="315"/>
      <c r="K82" s="261"/>
    </row>
    <row r="83" ht="15" customHeight="1" s="74">
      <c r="A83" s="318" t="inlineStr">
        <is>
          <t>TV (Exit Multiple)</t>
        </is>
      </c>
      <c r="B83" s="407">
        <f>IFERROR(F78*$B$74,"-")</f>
        <v>211658.9056379822</v>
      </c>
      <c r="C83" s="324"/>
      <c r="D83" s="324"/>
      <c r="E83" s="324"/>
      <c r="F83" s="324"/>
      <c r="G83" s="324"/>
      <c r="H83" s="272"/>
      <c r="I83" s="272"/>
      <c r="J83" s="272"/>
      <c r="K83" s="261"/>
    </row>
    <row r="84" ht="15" customHeight="1" s="74">
      <c r="A84" s="321" t="inlineStr">
        <is>
          <t>Selected TV (avg)</t>
        </is>
      </c>
      <c r="B84" s="407">
        <f>IFERROR((B82+B83)/2,"-")</f>
        <v>199642.4620917665</v>
      </c>
      <c r="C84" s="326"/>
      <c r="D84" s="326"/>
      <c r="E84" s="326"/>
      <c r="F84" s="326"/>
      <c r="G84" s="326"/>
      <c r="H84" s="315"/>
      <c r="I84" s="315"/>
      <c r="J84" s="315"/>
      <c r="K84" s="261"/>
    </row>
    <row r="85" ht="15" customHeight="1" s="74">
      <c r="A85" s="318" t="inlineStr">
        <is>
          <t>PV of UFCFs</t>
        </is>
      </c>
      <c r="B85" s="407">
        <f>IFERROR(B80*B51+C80*C51+D80*D51+E80*E51+F80*F51,"-")</f>
        <v>41985.59948362992</v>
      </c>
      <c r="C85" s="324"/>
      <c r="D85" s="324"/>
      <c r="E85" s="324"/>
      <c r="F85" s="324"/>
      <c r="G85" s="324"/>
      <c r="H85" s="272"/>
      <c r="I85" s="272"/>
      <c r="J85" s="272"/>
      <c r="K85" s="261"/>
    </row>
    <row r="86" ht="15" customHeight="1" s="74">
      <c r="A86" s="321" t="inlineStr">
        <is>
          <t>PV of Terminal Value</t>
        </is>
      </c>
      <c r="B86" s="407">
        <f>IFERROR(B84*F51,"-")</f>
        <v>128995.17956381895</v>
      </c>
      <c r="C86" s="326"/>
      <c r="D86" s="326"/>
      <c r="E86" s="326"/>
      <c r="F86" s="326"/>
      <c r="G86" s="326"/>
      <c r="H86" s="315"/>
      <c r="I86" s="315"/>
      <c r="J86" s="315"/>
      <c r="K86" s="261"/>
    </row>
    <row r="87" ht="15" customHeight="1" s="74">
      <c r="A87" s="318" t="inlineStr">
        <is>
          <t>Enterprise Value</t>
        </is>
      </c>
      <c r="B87" s="407">
        <f>IFERROR(B85+B86,"-")</f>
        <v>170980.7790474489</v>
      </c>
      <c r="C87" s="324"/>
      <c r="D87" s="324"/>
      <c r="E87" s="324"/>
      <c r="F87" s="324"/>
      <c r="G87" s="324"/>
      <c r="H87" s="272"/>
      <c r="I87" s="272"/>
      <c r="J87" s="272"/>
      <c r="K87" s="261"/>
    </row>
    <row r="88" ht="15" customHeight="1" s="74">
      <c r="A88" s="331" t="inlineStr">
        <is>
          <t>BEAR DCF Fair Value / Share</t>
        </is>
      </c>
      <c r="B88" s="415">
        <f>IFERROR((B87-B56-B57+B58)/B60,"-")</f>
        <v>202.81658003351512</v>
      </c>
      <c r="C88" s="326"/>
      <c r="D88" s="326"/>
      <c r="E88" s="326"/>
      <c r="F88" s="326"/>
      <c r="G88" s="326"/>
      <c r="H88" s="315"/>
      <c r="I88" s="315"/>
      <c r="J88" s="315"/>
      <c r="K88" s="261"/>
      <c r="M88" s="308"/>
    </row>
    <row r="89">
      <c r="A89" s="2"/>
      <c r="B89" s="408"/>
      <c r="C89" s="2"/>
      <c r="D89" s="2"/>
      <c r="E89" s="2"/>
      <c r="F89" s="2"/>
      <c r="G89" s="2"/>
      <c r="H89" s="2"/>
      <c r="I89" s="2"/>
      <c r="J89" s="2"/>
    </row>
    <row r="90" ht="19" customHeight="1" s="74">
      <c r="A90" s="226" t="inlineStr">
        <is>
          <t>3b. DCF — BULL CASE</t>
        </is>
      </c>
    </row>
    <row r="91" ht="15" customHeight="1" s="74">
      <c r="A91" s="45"/>
      <c r="B91" s="417"/>
      <c r="C91" s="45"/>
      <c r="D91" s="45"/>
      <c r="E91" s="45"/>
      <c r="F91" s="45"/>
      <c r="G91" s="45"/>
      <c r="H91" s="2"/>
      <c r="I91" s="2"/>
      <c r="J91" s="2"/>
    </row>
    <row r="92" ht="15" customHeight="1" s="74">
      <c r="A92" s="337" t="inlineStr">
        <is>
          <t>─ BULL Assumptions ─</t>
        </is>
      </c>
      <c r="B92" s="405"/>
      <c r="C92" s="326"/>
      <c r="D92" s="326"/>
      <c r="E92" s="326"/>
      <c r="F92" s="326"/>
      <c r="G92" s="326"/>
      <c r="H92" s="315"/>
      <c r="I92" s="315"/>
      <c r="J92" s="315"/>
      <c r="K92" s="261"/>
    </row>
    <row r="93" ht="15" customHeight="1" s="74">
      <c r="A93" s="313" t="inlineStr">
        <is>
          <t>Revenue Growth Rate</t>
        </is>
      </c>
      <c r="B93" s="398" t="n">
        <v>0.1</v>
      </c>
      <c r="C93" s="402"/>
      <c r="D93" s="402"/>
      <c r="E93" s="402"/>
      <c r="F93" s="402"/>
      <c r="G93" s="324"/>
      <c r="H93" s="272"/>
      <c r="I93" s="272"/>
      <c r="J93" s="272"/>
      <c r="K93" s="261"/>
      <c r="M93" s="308" t="inlineStr">
        <is>
          <t>valuation-agent | bear/bull scenario input | 2026-06-23</t>
        </is>
      </c>
    </row>
    <row r="94" ht="15" customHeight="1" s="74">
      <c r="A94" s="313" t="inlineStr">
        <is>
          <t>EBITDA Margin</t>
        </is>
      </c>
      <c r="B94" s="398" t="n">
        <v>0.34</v>
      </c>
      <c r="C94" s="401"/>
      <c r="D94" s="401"/>
      <c r="E94" s="401"/>
      <c r="F94" s="401"/>
      <c r="G94" s="326"/>
      <c r="H94" s="315"/>
      <c r="I94" s="315"/>
      <c r="J94" s="315"/>
      <c r="K94" s="261"/>
      <c r="M94" s="308" t="inlineStr">
        <is>
          <t>valuation-agent | bear/bull scenario input | 2026-06-23</t>
        </is>
      </c>
    </row>
    <row r="95" ht="15" customHeight="1" s="74">
      <c r="A95" s="313" t="inlineStr">
        <is>
          <t>D&amp;A / Revenue</t>
        </is>
      </c>
      <c r="B95" s="398" t="n">
        <v>0.055</v>
      </c>
      <c r="C95" s="402"/>
      <c r="D95" s="402"/>
      <c r="E95" s="402"/>
      <c r="F95" s="402"/>
      <c r="G95" s="324"/>
      <c r="H95" s="272"/>
      <c r="I95" s="272"/>
      <c r="J95" s="272"/>
      <c r="K95" s="261"/>
      <c r="M95" s="308" t="inlineStr">
        <is>
          <t>valuation-agent | bear/bull scenario input | 2026-06-23</t>
        </is>
      </c>
    </row>
    <row r="96" ht="15" customHeight="1" s="74">
      <c r="A96" s="313" t="inlineStr">
        <is>
          <t>CapEx / Revenue</t>
        </is>
      </c>
      <c r="B96" s="398" t="n">
        <v>0.02</v>
      </c>
      <c r="C96" s="401"/>
      <c r="D96" s="401"/>
      <c r="E96" s="401"/>
      <c r="F96" s="401"/>
      <c r="G96" s="326"/>
      <c r="H96" s="315"/>
      <c r="I96" s="315"/>
      <c r="J96" s="315"/>
      <c r="K96" s="261"/>
      <c r="M96" s="308" t="inlineStr">
        <is>
          <t>valuation-agent | bear/bull scenario input | 2026-06-23</t>
        </is>
      </c>
    </row>
    <row r="97" ht="15" customHeight="1" s="74">
      <c r="A97" s="313" t="inlineStr">
        <is>
          <t>Change in NWC / Revenue</t>
        </is>
      </c>
      <c r="B97" s="398" t="n">
        <v>0.005</v>
      </c>
      <c r="C97" s="402"/>
      <c r="D97" s="402"/>
      <c r="E97" s="402"/>
      <c r="F97" s="402"/>
      <c r="G97" s="324"/>
      <c r="H97" s="272"/>
      <c r="I97" s="272"/>
      <c r="J97" s="272"/>
      <c r="K97" s="261"/>
      <c r="M97" s="308" t="inlineStr">
        <is>
          <t>valuation-agent | bear/bull scenario input | 2026-06-23</t>
        </is>
      </c>
    </row>
    <row r="98" ht="15" customHeight="1" s="74">
      <c r="A98" s="313" t="inlineStr">
        <is>
          <t>Effective Tax Rate</t>
        </is>
      </c>
      <c r="B98" s="398" t="n">
        <v>0.21</v>
      </c>
      <c r="C98" s="401"/>
      <c r="D98" s="401"/>
      <c r="E98" s="401"/>
      <c r="F98" s="401"/>
      <c r="G98" s="326"/>
      <c r="H98" s="315"/>
      <c r="I98" s="315"/>
      <c r="J98" s="315"/>
      <c r="K98" s="261"/>
      <c r="M98" s="308" t="inlineStr">
        <is>
          <t>valuation-agent | bear/bull scenario input | 2026-06-23</t>
        </is>
      </c>
    </row>
    <row r="99" ht="15" customHeight="1" s="74">
      <c r="A99" s="313" t="inlineStr">
        <is>
          <t>Terminal Growth Rate</t>
        </is>
      </c>
      <c r="B99" s="398" t="n">
        <v>0.035</v>
      </c>
      <c r="C99" s="402"/>
      <c r="D99" s="402"/>
      <c r="E99" s="402"/>
      <c r="F99" s="402"/>
      <c r="G99" s="402"/>
      <c r="H99" s="272"/>
      <c r="I99" s="272"/>
      <c r="J99" s="272"/>
      <c r="K99" s="261"/>
      <c r="M99" s="308" t="inlineStr">
        <is>
          <t>valuation-agent | bear/bull scenario input | 2026-06-23</t>
        </is>
      </c>
    </row>
    <row r="100" ht="15" customHeight="1" s="74">
      <c r="A100" s="313" t="inlineStr">
        <is>
          <t>Exit EV/EBITDA Multiple</t>
        </is>
      </c>
      <c r="B100" s="403" t="n">
        <v>17</v>
      </c>
      <c r="C100" s="416"/>
      <c r="D100" s="416"/>
      <c r="E100" s="416"/>
      <c r="F100" s="416"/>
      <c r="G100" s="416"/>
      <c r="H100" s="315"/>
      <c r="I100" s="315"/>
      <c r="J100" s="315"/>
      <c r="K100" s="261"/>
      <c r="M100" s="308" t="inlineStr">
        <is>
          <t>valuation-agent | bear/bull scenario input | 2026-06-23</t>
        </is>
      </c>
    </row>
    <row r="101">
      <c r="A101" s="2"/>
      <c r="B101" s="408"/>
      <c r="C101" s="2"/>
      <c r="D101" s="2"/>
      <c r="E101" s="2"/>
      <c r="F101" s="2"/>
      <c r="G101" s="2"/>
      <c r="H101" s="2"/>
      <c r="I101" s="2"/>
      <c r="J101" s="2"/>
    </row>
    <row r="102" ht="15" customHeight="1" s="74">
      <c r="A102" s="337" t="inlineStr">
        <is>
          <t>─ BULL Projected UFCF ─</t>
        </is>
      </c>
      <c r="B102" s="405"/>
      <c r="C102" s="326"/>
      <c r="D102" s="326"/>
      <c r="E102" s="326"/>
      <c r="F102" s="326"/>
      <c r="G102" s="326"/>
      <c r="H102" s="315"/>
      <c r="I102" s="315"/>
      <c r="J102" s="315"/>
      <c r="K102" s="261"/>
    </row>
    <row r="103" ht="15" customHeight="1" s="74">
      <c r="A103" s="318" t="inlineStr">
        <is>
          <t>Projected Revenue</t>
        </is>
      </c>
      <c r="B103" s="407">
        <f>IFERROR(B30*(1+$B$93),"-")</f>
        <v>45677.50000000001</v>
      </c>
      <c r="C103" s="334">
        <f>IFERROR(B103*(1+$B$93),"-")</f>
        <v>50245.250000000015</v>
      </c>
      <c r="D103" s="334">
        <f>IFERROR(C103*(1+$B$93),"-")</f>
        <v>55269.77500000002</v>
      </c>
      <c r="E103" s="334">
        <f>IFERROR(D103*(1+$B$93),"-")</f>
        <v>60796.75250000003</v>
      </c>
      <c r="F103" s="334">
        <f>IFERROR(E103*(1+$B$93),"-")</f>
        <v>66876.42775000005</v>
      </c>
      <c r="G103" s="324"/>
      <c r="H103" s="272"/>
      <c r="I103" s="272"/>
      <c r="J103" s="272"/>
      <c r="K103" s="261"/>
    </row>
    <row r="104" ht="15" customHeight="1" s="74">
      <c r="A104" s="321" t="inlineStr">
        <is>
          <t>Projected EBITDA</t>
        </is>
      </c>
      <c r="B104" s="407">
        <f>IFERROR(B103*$B$94,"-")</f>
        <v>15530.350000000004</v>
      </c>
      <c r="C104" s="335">
        <f>IFERROR(C103*$B$94,"-")</f>
        <v>17083.385000000006</v>
      </c>
      <c r="D104" s="335">
        <f>IFERROR(D103*$B$94,"-")</f>
        <v>18791.72350000001</v>
      </c>
      <c r="E104" s="335">
        <f>IFERROR(E103*$B$94,"-")</f>
        <v>20670.89585000001</v>
      </c>
      <c r="F104" s="335">
        <f>IFERROR(F103*$B$94,"-")</f>
        <v>22737.985435000017</v>
      </c>
      <c r="G104" s="326"/>
      <c r="H104" s="315"/>
      <c r="I104" s="315"/>
      <c r="J104" s="315"/>
      <c r="K104" s="261"/>
    </row>
    <row r="105" ht="15" customHeight="1" s="74">
      <c r="A105" s="318" t="inlineStr">
        <is>
          <t>Projected EBIT</t>
        </is>
      </c>
      <c r="B105" s="407">
        <f>IFERROR(B104-B103*$B$95,"-")</f>
        <v>13018.087500000003</v>
      </c>
      <c r="C105" s="334">
        <f>IFERROR(C104-C103*$B$95,"-")</f>
        <v>14319.896250000005</v>
      </c>
      <c r="D105" s="334">
        <f>IFERROR(D104-D103*$B$95,"-")</f>
        <v>15751.885875000009</v>
      </c>
      <c r="E105" s="334">
        <f>IFERROR(E104-E103*$B$95,"-")</f>
        <v>17327.074462500008</v>
      </c>
      <c r="F105" s="334">
        <f>IFERROR(F104-F103*$B$95,"-")</f>
        <v>19059.781908750014</v>
      </c>
      <c r="G105" s="324"/>
      <c r="H105" s="272"/>
      <c r="I105" s="272"/>
      <c r="J105" s="272"/>
      <c r="K105" s="261"/>
    </row>
    <row r="106" ht="15" customHeight="1" s="74">
      <c r="A106" s="331" t="inlineStr">
        <is>
          <t>UFCF</t>
        </is>
      </c>
      <c r="B106" s="406">
        <f>IFERROR(B105*(1-$B$98)+B103*$B$95-B103*$B$96-B103*$B$97,"-")</f>
        <v>11654.614125000004</v>
      </c>
      <c r="C106" s="336">
        <f>IFERROR(C105*(1-$B$98)+C103*$B$95-C103*$B$96-C103*$B$97,"-")</f>
        <v>12820.075537500004</v>
      </c>
      <c r="D106" s="336">
        <f>IFERROR(D105*(1-$B$98)+D103*$B$95-D103*$B$96-D103*$B$97,"-")</f>
        <v>14102.08309125001</v>
      </c>
      <c r="E106" s="336">
        <f>IFERROR(E105*(1-$B$98)+E103*$B$95-E103*$B$96-E103*$B$97,"-")</f>
        <v>15512.291400375008</v>
      </c>
      <c r="F106" s="336">
        <f>IFERROR(F105*(1-$B$98)+F103*$B$95-F103*$B$96-F103*$B$97,"-")</f>
        <v>17063.520540412515</v>
      </c>
      <c r="G106" s="326"/>
      <c r="H106" s="315"/>
      <c r="I106" s="315"/>
      <c r="J106" s="315"/>
      <c r="K106" s="261"/>
    </row>
    <row r="107">
      <c r="A107" s="2"/>
      <c r="B107" s="408"/>
      <c r="C107" s="2"/>
      <c r="D107" s="2"/>
      <c r="E107" s="2"/>
      <c r="F107" s="2"/>
      <c r="G107" s="2"/>
      <c r="H107" s="2"/>
      <c r="I107" s="2"/>
      <c r="J107" s="2"/>
    </row>
    <row r="108" ht="15" customHeight="1" s="74">
      <c r="A108" s="321" t="inlineStr">
        <is>
          <t>TV (Perpetuity Growth)</t>
        </is>
      </c>
      <c r="B108" s="407">
        <f>IFERROR(F106*(1+$B$99)/($B$15-$B$99),"-")</f>
        <v>313805.74316831544</v>
      </c>
      <c r="C108" s="326"/>
      <c r="D108" s="326"/>
      <c r="E108" s="326"/>
      <c r="F108" s="326"/>
      <c r="G108" s="326"/>
      <c r="H108" s="315"/>
      <c r="I108" s="315"/>
      <c r="J108" s="315"/>
      <c r="K108" s="261"/>
    </row>
    <row r="109" ht="15" customHeight="1" s="74">
      <c r="A109" s="318" t="inlineStr">
        <is>
          <t>TV (Exit Multiple)</t>
        </is>
      </c>
      <c r="B109" s="407">
        <f>IFERROR(F104*$B$100,"-")</f>
        <v>386545.7523950003</v>
      </c>
      <c r="C109" s="324"/>
      <c r="D109" s="324"/>
      <c r="E109" s="324"/>
      <c r="F109" s="324"/>
      <c r="G109" s="324"/>
      <c r="H109" s="272"/>
      <c r="I109" s="272"/>
      <c r="J109" s="272"/>
      <c r="K109" s="261"/>
    </row>
    <row r="110" ht="15" customHeight="1" s="74">
      <c r="A110" s="321" t="inlineStr">
        <is>
          <t>Selected TV (avg)</t>
        </is>
      </c>
      <c r="B110" s="407">
        <f>IFERROR((B108+B109)/2,"-")</f>
        <v>350175.74778165785</v>
      </c>
      <c r="C110" s="326"/>
      <c r="D110" s="326"/>
      <c r="E110" s="326"/>
      <c r="F110" s="326"/>
      <c r="G110" s="326"/>
      <c r="H110" s="315"/>
      <c r="I110" s="315"/>
      <c r="J110" s="315"/>
      <c r="K110" s="261"/>
    </row>
    <row r="111" ht="15" customHeight="1" s="74">
      <c r="A111" s="318" t="inlineStr">
        <is>
          <t>PV of UFCFs</t>
        </is>
      </c>
      <c r="B111" s="407">
        <f>IFERROR(B106*B51+C106*C51+D106*D51+E106*E51+F106*F51,"-")</f>
        <v>54259.1675390538</v>
      </c>
      <c r="C111" s="324"/>
      <c r="D111" s="324"/>
      <c r="E111" s="324"/>
      <c r="F111" s="324"/>
      <c r="G111" s="324"/>
      <c r="H111" s="272"/>
      <c r="I111" s="272"/>
      <c r="J111" s="272"/>
      <c r="K111" s="261"/>
    </row>
    <row r="112" ht="15" customHeight="1" s="74">
      <c r="A112" s="321" t="inlineStr">
        <is>
          <t>PV of Terminal Value</t>
        </is>
      </c>
      <c r="B112" s="407">
        <f>IFERROR(B110*F51,"-")</f>
        <v>226259.3988809179</v>
      </c>
      <c r="C112" s="326"/>
      <c r="D112" s="326"/>
      <c r="E112" s="326"/>
      <c r="F112" s="326"/>
      <c r="G112" s="326"/>
      <c r="H112" s="315"/>
      <c r="I112" s="315"/>
      <c r="J112" s="315"/>
      <c r="K112" s="261"/>
    </row>
    <row r="113" ht="15" customHeight="1" s="74">
      <c r="A113" s="318" t="inlineStr">
        <is>
          <t>Enterprise Value</t>
        </is>
      </c>
      <c r="B113" s="407">
        <f>IFERROR(B111+B112,"-")</f>
        <v>280518.5664199717</v>
      </c>
      <c r="C113" s="324"/>
      <c r="D113" s="324"/>
      <c r="E113" s="324"/>
      <c r="F113" s="324"/>
      <c r="G113" s="324"/>
      <c r="H113" s="272"/>
      <c r="I113" s="272"/>
      <c r="J113" s="272"/>
      <c r="K113" s="261"/>
    </row>
    <row r="114" ht="15" customHeight="1" s="74">
      <c r="A114" s="331" t="inlineStr">
        <is>
          <t>BULL DCF Fair Value / Share</t>
        </is>
      </c>
      <c r="B114" s="415">
        <f>IFERROR((B113-B56-B57+B58)/B60,"-")</f>
        <v>336.5623521611376</v>
      </c>
      <c r="C114" s="326"/>
      <c r="D114" s="326"/>
      <c r="E114" s="326"/>
      <c r="F114" s="326"/>
      <c r="G114" s="326"/>
      <c r="H114" s="315"/>
      <c r="I114" s="315"/>
      <c r="J114" s="315"/>
      <c r="K114" s="261"/>
      <c r="M114" s="308"/>
    </row>
    <row r="115">
      <c r="A115" s="2"/>
      <c r="B115" s="408"/>
      <c r="C115" s="2"/>
      <c r="D115" s="2"/>
      <c r="E115" s="2"/>
      <c r="F115" s="2"/>
      <c r="G115" s="2"/>
      <c r="H115" s="2"/>
      <c r="I115" s="2"/>
      <c r="J115" s="2"/>
    </row>
    <row r="116" ht="19" customHeight="1" s="74">
      <c r="A116" s="226" t="inlineStr">
        <is>
          <t>4. MULTIPLES-BASED VALUATION</t>
        </is>
      </c>
    </row>
    <row r="117" ht="21.75" customHeight="1" s="74">
      <c r="A117" s="322" t="inlineStr">
        <is>
          <t>Method</t>
        </is>
      </c>
      <c r="B117" s="418"/>
      <c r="C117" s="322"/>
      <c r="D117" s="322"/>
      <c r="E117" s="322"/>
      <c r="F117" s="272"/>
      <c r="G117" s="272"/>
      <c r="H117" s="272"/>
      <c r="I117" s="272"/>
      <c r="J117" s="272"/>
      <c r="K117" s="261"/>
    </row>
    <row r="118" ht="15" customHeight="1" s="74">
      <c r="A118" s="313" t="inlineStr">
        <is>
          <t>P/E × EPS</t>
        </is>
      </c>
      <c r="B118" s="419" t="n">
        <v>19.25</v>
      </c>
      <c r="C118" s="416" t="n">
        <v>22</v>
      </c>
      <c r="D118" s="335"/>
      <c r="E118" s="350">
        <f>IFERROR(C118*Data!L27,"-")</f>
        <v>171.6</v>
      </c>
      <c r="F118" s="315"/>
      <c r="G118" s="315"/>
      <c r="H118" s="315"/>
      <c r="I118" s="315"/>
      <c r="J118" s="315"/>
      <c r="K118" s="261"/>
      <c r="M118" s="308" t="inlineStr">
        <is>
          <t xml:space="preserve">market-researcher | valuation-agent | as-of: </t>
        </is>
      </c>
    </row>
    <row r="119" ht="15" customHeight="1" s="74">
      <c r="A119" s="313" t="inlineStr">
        <is>
          <t>EV/EBITDA × EBITDA</t>
        </is>
      </c>
      <c r="B119" s="407" t="n">
        <v>10.69</v>
      </c>
      <c r="C119" s="404" t="n">
        <v>13</v>
      </c>
      <c r="D119" s="334"/>
      <c r="E119" s="351">
        <f>IFERROR((C119*Data!L20-Data!L36-Data!L42+B58)/B60,"-")</f>
        <v>183.92185592185592</v>
      </c>
      <c r="F119" s="272"/>
      <c r="G119" s="272"/>
      <c r="H119" s="272"/>
      <c r="I119" s="272"/>
      <c r="J119" s="272"/>
      <c r="K119" s="261"/>
      <c r="M119" s="308" t="inlineStr">
        <is>
          <t xml:space="preserve">market-researcher | valuation-agent | as-of: </t>
        </is>
      </c>
    </row>
    <row r="120" ht="15" customHeight="1" s="74">
      <c r="A120" s="313" t="inlineStr">
        <is>
          <t>EV/EBIT × EBIT</t>
        </is>
      </c>
      <c r="B120" s="407" t="n">
        <v>15.34</v>
      </c>
      <c r="C120" s="416" t="n">
        <v>17</v>
      </c>
      <c r="D120" s="335"/>
      <c r="E120" s="350">
        <f>IFERROR((C120*Data!L22-Data!L36-Data!L42+B58)/B60,"-")</f>
        <v>166.97557997557996</v>
      </c>
      <c r="F120" s="315"/>
      <c r="G120" s="315"/>
      <c r="H120" s="315"/>
      <c r="I120" s="315"/>
      <c r="J120" s="315"/>
      <c r="K120" s="261"/>
      <c r="M120" s="308" t="inlineStr">
        <is>
          <t xml:space="preserve">market-researcher | valuation-agent | as-of: </t>
        </is>
      </c>
    </row>
    <row r="121" ht="15" customHeight="1" s="74">
      <c r="A121" s="313" t="inlineStr">
        <is>
          <t>P/FCF × FCF/Share</t>
        </is>
      </c>
      <c r="B121" s="419" t="n">
        <v>8.539999999999999</v>
      </c>
      <c r="C121" s="404" t="n">
        <v>11</v>
      </c>
      <c r="D121" s="334"/>
      <c r="E121" s="351">
        <f>IFERROR(C121*(Data!L53/B60),"-")</f>
        <v>193.43345543345544</v>
      </c>
      <c r="F121" s="272"/>
      <c r="G121" s="272"/>
      <c r="H121" s="272"/>
      <c r="I121" s="272"/>
      <c r="J121" s="272"/>
      <c r="K121" s="261"/>
      <c r="M121" s="308" t="inlineStr">
        <is>
          <t xml:space="preserve">market-researcher | valuation-agent | as-of: </t>
        </is>
      </c>
    </row>
    <row r="122" ht="15" customHeight="1" s="74">
      <c r="A122" s="313" t="inlineStr">
        <is>
          <t>FCF Yield → Price</t>
        </is>
      </c>
      <c r="B122" s="419" t="n">
        <v>0.117</v>
      </c>
      <c r="C122" s="401" t="n">
        <v>0.075</v>
      </c>
      <c r="D122" s="335"/>
      <c r="E122" s="350">
        <f>IFERROR((Data!L53/B60)/C122,"-")</f>
        <v>234.4647944647945</v>
      </c>
      <c r="F122" s="315"/>
      <c r="G122" s="315"/>
      <c r="H122" s="315"/>
      <c r="I122" s="315"/>
      <c r="J122" s="315"/>
      <c r="K122" s="261"/>
      <c r="M122" s="308" t="inlineStr">
        <is>
          <t xml:space="preserve">market-researcher | valuation-agent | as-of: </t>
        </is>
      </c>
    </row>
    <row r="123">
      <c r="A123" s="2"/>
      <c r="B123" s="408"/>
      <c r="C123" s="2"/>
      <c r="D123" s="2"/>
      <c r="E123" s="2"/>
      <c r="F123" s="2"/>
      <c r="G123" s="2"/>
      <c r="H123" s="2"/>
      <c r="I123" s="2"/>
      <c r="J123" s="2"/>
    </row>
    <row r="124" ht="19" customHeight="1" s="74">
      <c r="A124" s="226" t="inlineStr">
        <is>
          <t>5. REVERSE DCF — IMPLIED GROWTH AT CURRENT PRICE</t>
        </is>
      </c>
    </row>
    <row r="125" ht="15" customHeight="1" s="74">
      <c r="A125" s="318" t="inlineStr">
        <is>
          <t>Current Market Cap ($M)</t>
        </is>
      </c>
      <c r="B125" s="407"/>
      <c r="C125" s="272"/>
      <c r="D125" s="272"/>
      <c r="E125" s="272"/>
      <c r="F125" s="272"/>
      <c r="G125" s="272"/>
      <c r="H125" s="272"/>
      <c r="I125" s="272"/>
      <c r="J125" s="272"/>
      <c r="K125" s="261"/>
    </row>
    <row r="126" ht="15" customHeight="1" s="74">
      <c r="A126" s="321" t="inlineStr">
        <is>
          <t>Current Enterprise Value ($M)</t>
        </is>
      </c>
      <c r="B126" s="407"/>
      <c r="C126" s="315"/>
      <c r="D126" s="315"/>
      <c r="E126" s="315"/>
      <c r="F126" s="315"/>
      <c r="G126" s="315"/>
      <c r="H126" s="315"/>
      <c r="I126" s="315"/>
      <c r="J126" s="315"/>
      <c r="K126" s="261"/>
    </row>
    <row r="127" ht="15" customHeight="1" s="74">
      <c r="A127" s="318" t="inlineStr">
        <is>
          <t>Latest UFCF ($M, proxy = FCF)</t>
        </is>
      </c>
      <c r="B127" s="407"/>
      <c r="C127" s="272"/>
      <c r="D127" s="272"/>
      <c r="E127" s="272"/>
      <c r="F127" s="272"/>
      <c r="G127" s="272"/>
      <c r="H127" s="272"/>
      <c r="I127" s="272"/>
      <c r="J127" s="272"/>
      <c r="K127" s="261"/>
    </row>
    <row r="128" ht="15" customHeight="1" s="74">
      <c r="A128" s="313" t="inlineStr">
        <is>
          <t>Assumed margin stable at (%)</t>
        </is>
      </c>
      <c r="B128" s="420"/>
      <c r="C128" s="315"/>
      <c r="D128" s="315"/>
      <c r="E128" s="315"/>
      <c r="F128" s="315"/>
      <c r="G128" s="315"/>
      <c r="H128" s="315"/>
      <c r="I128" s="315"/>
      <c r="J128" s="315"/>
      <c r="K128" s="261"/>
    </row>
    <row r="129" ht="15" customHeight="1" s="74">
      <c r="A129" s="318" t="inlineStr">
        <is>
          <t>Terminal Growth (same as Base)</t>
        </is>
      </c>
      <c r="B129" s="409">
        <f>IFERROR(B26,"-")</f>
        <v>0.03</v>
      </c>
      <c r="C129" s="272"/>
      <c r="D129" s="272"/>
      <c r="E129" s="272"/>
      <c r="F129" s="272"/>
      <c r="G129" s="272"/>
      <c r="H129" s="272"/>
      <c r="I129" s="272"/>
      <c r="J129" s="272"/>
      <c r="K129" s="261"/>
    </row>
    <row r="130" ht="15" customHeight="1" s="74">
      <c r="A130" s="331" t="inlineStr">
        <is>
          <t>Implied Perpetuity Growth Rate</t>
        </is>
      </c>
      <c r="B130" s="399"/>
      <c r="C130" s="315"/>
      <c r="D130" s="315"/>
      <c r="E130" s="315"/>
      <c r="F130" s="315"/>
      <c r="G130" s="315"/>
      <c r="H130" s="315"/>
      <c r="I130" s="315"/>
      <c r="J130" s="315"/>
      <c r="K130" s="261"/>
    </row>
    <row r="131" ht="15" customHeight="1" s="74">
      <c r="A131" s="318" t="inlineStr">
        <is>
          <t>Interpretation</t>
        </is>
      </c>
      <c r="B131" s="421"/>
      <c r="C131" s="272"/>
      <c r="D131" s="272"/>
      <c r="E131" s="272"/>
      <c r="F131" s="272"/>
      <c r="G131" s="272"/>
      <c r="H131" s="272"/>
      <c r="I131" s="272"/>
      <c r="J131" s="272"/>
      <c r="K131" s="261"/>
    </row>
    <row r="132" ht="15" customHeight="1" s="74">
      <c r="A132" s="10"/>
      <c r="B132" s="408"/>
      <c r="C132" s="10"/>
      <c r="D132" s="10"/>
      <c r="E132" s="10"/>
      <c r="F132" s="10"/>
      <c r="G132" s="10"/>
      <c r="H132" s="10"/>
      <c r="I132" s="10"/>
      <c r="J132" s="10"/>
    </row>
    <row r="133" ht="19" customHeight="1" s="74">
      <c r="A133" s="226" t="inlineStr">
        <is>
          <t>6. COMPOSITE FAIR VALUE</t>
        </is>
      </c>
    </row>
    <row r="134" ht="15" customHeight="1" s="74">
      <c r="A134" s="322" t="inlineStr">
        <is>
          <t>Method</t>
        </is>
      </c>
      <c r="B134" s="418"/>
      <c r="C134" s="322"/>
      <c r="D134" s="322"/>
      <c r="E134" s="322"/>
      <c r="F134" s="315"/>
      <c r="G134" s="315"/>
      <c r="H134" s="315"/>
      <c r="I134" s="315"/>
      <c r="J134" s="315"/>
      <c r="K134" s="261"/>
    </row>
    <row r="135" ht="15" customHeight="1" s="74">
      <c r="A135" s="318" t="inlineStr">
        <is>
          <t>DCF (Section 2/3)</t>
        </is>
      </c>
      <c r="B135" s="419">
        <f>IFERROR(B88,"-")</f>
        <v>202.81658003351512</v>
      </c>
      <c r="C135" s="351">
        <f>IFERROR(B61,"-")</f>
        <v>272.6939360995161</v>
      </c>
      <c r="D135" s="351">
        <f>IFERROR(B114,"-")</f>
        <v>336.5623521611376</v>
      </c>
      <c r="E135" s="354"/>
      <c r="F135" s="272"/>
      <c r="G135" s="272"/>
      <c r="H135" s="272"/>
      <c r="I135" s="272"/>
      <c r="J135" s="272"/>
      <c r="K135" s="261"/>
      <c r="M135" s="308"/>
    </row>
    <row r="136" ht="15" customHeight="1" s="74">
      <c r="A136" s="321" t="inlineStr">
        <is>
          <t>P/E Relative (Section 4)</t>
        </is>
      </c>
      <c r="B136" s="419">
        <f>IFERROR(B181*Data!L27,"-")</f>
        <v>145.85999999999999</v>
      </c>
      <c r="C136" s="350">
        <f>IFERROR(C118*Data!L27,"-")</f>
        <v>171.6</v>
      </c>
      <c r="D136" s="350">
        <f>IFERROR(B182*Data!L27,"-")</f>
        <v>197.33999999999997</v>
      </c>
      <c r="E136" s="355"/>
      <c r="F136" s="315"/>
      <c r="G136" s="315"/>
      <c r="H136" s="315"/>
      <c r="I136" s="315"/>
      <c r="J136" s="315"/>
      <c r="K136" s="261"/>
      <c r="M136" s="308"/>
    </row>
    <row r="137" ht="15" customHeight="1" s="74">
      <c r="A137" s="318" t="inlineStr">
        <is>
          <t>EV/EBITDA Relative (Section 4)</t>
        </is>
      </c>
      <c r="B137" s="419">
        <f>IFERROR((B183*Data!L20-Data!L36-Data!L42+B58)/B60,"-")</f>
        <v>155.44090354090352</v>
      </c>
      <c r="C137" s="351">
        <f>IFERROR((C119*Data!L20-Data!L36-Data!L42+B58)/B60,"-")</f>
        <v>183.92185592185592</v>
      </c>
      <c r="D137" s="351">
        <f>IFERROR((B184*Data!L20-Data!L36-Data!L42+B58)/B60,"-")</f>
        <v>212.4028083028083</v>
      </c>
      <c r="E137" s="354"/>
      <c r="F137" s="272"/>
      <c r="G137" s="272"/>
      <c r="H137" s="272"/>
      <c r="I137" s="272"/>
      <c r="J137" s="272"/>
      <c r="K137" s="261"/>
      <c r="M137" s="308"/>
    </row>
    <row r="138" ht="15" customHeight="1" s="74">
      <c r="A138" s="321" t="inlineStr">
        <is>
          <t>FCF Yield (Section 4)</t>
        </is>
      </c>
      <c r="B138" s="419">
        <f>IFERROR((Data!L53/B60)/B185,"-")</f>
        <v>203.88242996938652</v>
      </c>
      <c r="C138" s="350">
        <f>IFERROR((Data!L53/B60)/C122,"-")</f>
        <v>234.4647944647945</v>
      </c>
      <c r="D138" s="350">
        <f>IFERROR((Data!L53/B60)/B186,"-")</f>
        <v>275.8409346644641</v>
      </c>
      <c r="E138" s="355"/>
      <c r="F138" s="315"/>
      <c r="G138" s="315"/>
      <c r="H138" s="315"/>
      <c r="I138" s="315"/>
      <c r="J138" s="315"/>
      <c r="K138" s="261"/>
      <c r="M138" s="308"/>
    </row>
    <row r="139">
      <c r="A139" s="2"/>
      <c r="B139" s="408"/>
      <c r="C139" s="2"/>
      <c r="D139" s="2"/>
      <c r="E139" s="2"/>
      <c r="F139" s="2"/>
      <c r="G139" s="2"/>
      <c r="H139" s="2"/>
      <c r="I139" s="2"/>
      <c r="J139" s="2"/>
    </row>
    <row r="140" ht="15" customHeight="1" s="74">
      <c r="A140" s="331" t="inlineStr">
        <is>
          <t>Weighted FV / Scenario</t>
        </is>
      </c>
      <c r="B140" s="422"/>
      <c r="C140" s="357"/>
      <c r="D140" s="357"/>
      <c r="E140" s="326"/>
      <c r="F140" s="315"/>
      <c r="G140" s="315"/>
      <c r="H140" s="315"/>
      <c r="I140" s="315"/>
      <c r="J140" s="315"/>
      <c r="K140" s="261"/>
    </row>
    <row r="141" ht="15" customHeight="1" s="74">
      <c r="A141" s="313" t="inlineStr">
        <is>
          <t>Scenario Probability</t>
        </is>
      </c>
      <c r="B141" s="402" t="n">
        <v>0.25</v>
      </c>
      <c r="C141" s="402" t="n">
        <v>0.5</v>
      </c>
      <c r="D141" s="402" t="n">
        <v>0.25</v>
      </c>
      <c r="E141" s="324"/>
      <c r="F141" s="272"/>
      <c r="G141" s="272"/>
      <c r="H141" s="272"/>
      <c r="I141" s="272"/>
      <c r="J141" s="272"/>
      <c r="K141" s="261"/>
      <c r="M141" s="308" t="inlineStr">
        <is>
          <t>valuation-agent | bear/bull scenario input | 2026-06-23</t>
        </is>
      </c>
    </row>
    <row r="142" ht="15" customHeight="1" s="74">
      <c r="A142" s="10"/>
      <c r="B142" s="10"/>
      <c r="C142" s="10"/>
      <c r="D142" s="10"/>
      <c r="E142" s="10"/>
      <c r="F142" s="10"/>
      <c r="G142" s="10"/>
      <c r="H142" s="10"/>
      <c r="I142" s="10"/>
      <c r="J142" s="10"/>
    </row>
    <row r="143" ht="17.25" customHeight="1" s="74">
      <c r="A143" s="343" t="inlineStr">
        <is>
          <t>COMPOSITE FAIR VALUE</t>
        </is>
      </c>
      <c r="B143" s="358">
        <f>IFERROR((B135+B136+B137+B138)/4,"-")</f>
        <v>176.9999783859513</v>
      </c>
      <c r="C143" s="324">
        <f>IFERROR((C135+C136+C137+C138)/4,"-")</f>
        <v>215.67014662154165</v>
      </c>
      <c r="D143" s="324">
        <f>IFERROR((D135+D136+D137+D138)/4,"-")</f>
        <v>255.5365237821025</v>
      </c>
      <c r="E143" s="324"/>
      <c r="F143" s="272"/>
      <c r="G143" s="272"/>
      <c r="H143" s="272"/>
      <c r="I143" s="272"/>
      <c r="J143" s="272"/>
      <c r="K143" s="261"/>
      <c r="M143" s="308"/>
    </row>
    <row r="144" ht="15" customHeight="1" s="74">
      <c r="A144" s="321" t="inlineStr">
        <is>
          <t>Current Share Price</t>
        </is>
      </c>
      <c r="B144" s="359" t="n">
        <v>150.14</v>
      </c>
      <c r="C144" s="326"/>
      <c r="D144" s="326"/>
      <c r="E144" s="326"/>
      <c r="F144" s="315"/>
      <c r="G144" s="315"/>
      <c r="H144" s="315"/>
      <c r="I144" s="315"/>
      <c r="J144" s="315"/>
      <c r="K144" s="261"/>
      <c r="M144" s="308" t="inlineStr">
        <is>
          <t>market-researcher | stockanalysis.com (https://stockanalysis.com/stocks/CRM/) | as-of: 2026-06-22</t>
        </is>
      </c>
    </row>
    <row r="145" ht="15" customHeight="1" s="74">
      <c r="A145" s="343" t="inlineStr">
        <is>
          <t>Upside / Downside</t>
        </is>
      </c>
      <c r="B145" s="360"/>
      <c r="C145" s="324"/>
      <c r="D145" s="324"/>
      <c r="E145" s="324"/>
      <c r="F145" s="272"/>
      <c r="G145" s="272"/>
      <c r="H145" s="272"/>
      <c r="I145" s="272"/>
      <c r="J145" s="272"/>
      <c r="K145" s="261"/>
      <c r="M145" s="308"/>
    </row>
    <row r="146" ht="15" customHeight="1" s="74">
      <c r="A146" s="10"/>
      <c r="B146" s="10"/>
      <c r="C146" s="10"/>
      <c r="D146" s="10"/>
      <c r="E146" s="10"/>
      <c r="F146" s="10"/>
      <c r="G146" s="10"/>
      <c r="H146" s="10"/>
      <c r="I146" s="10"/>
      <c r="J146" s="10"/>
    </row>
    <row r="147" ht="19" customHeight="1" s="74">
      <c r="A147" s="226" t="inlineStr">
        <is>
          <t>7. SENSITIVITY: WACC × TERMINAL GROWTH → DCF FV/SHARE</t>
        </is>
      </c>
    </row>
    <row r="148" ht="15" customHeight="1" s="74">
      <c r="A148" s="361" t="inlineStr">
        <is>
          <t>WACC \ TGR</t>
        </is>
      </c>
      <c r="B148" s="362">
        <f>IFERROR($B$26-0.015,"-")</f>
        <v>0.015</v>
      </c>
      <c r="C148" s="362">
        <f>IFERROR($B$26-0.01,"-")</f>
        <v>0.019999999999999997</v>
      </c>
      <c r="D148" s="362">
        <f>IFERROR($B$26-0.005,"-")</f>
        <v>0.024999999999999998</v>
      </c>
      <c r="E148" s="362">
        <f>IFERROR($B$26,"-")</f>
        <v>0.03</v>
      </c>
      <c r="F148" s="362">
        <f>IFERROR($B$26+0.005,"-")</f>
        <v>0.034999999999999996</v>
      </c>
      <c r="G148" s="362">
        <f>IFERROR($B$26+0.01,"-")</f>
        <v>0.04</v>
      </c>
      <c r="H148" s="362">
        <f>IFERROR($B$26+0.015,"-")</f>
        <v>0.045</v>
      </c>
      <c r="I148" s="315"/>
      <c r="J148" s="315"/>
      <c r="K148" s="261"/>
      <c r="M148" s="308"/>
    </row>
    <row r="149" ht="15" customHeight="1" s="74">
      <c r="A149" s="363">
        <f>IFERROR($B$15-0.02,"-")</f>
        <v>0.07127922414999999</v>
      </c>
      <c r="B149" s="351">
        <f>IFERROR((B40/(1+$A149)^1+C40/(1+$A149)^2+D40/(1+$A149)^3+E40/(1+$A149)^4+F40/(1+$A149)^5+(F40*(1+B$148)/($A149-B$148))/(1+$A149)^5-B56-B57+B58)/B60,"-")</f>
        <v>290.3636964693071</v>
      </c>
      <c r="C149" s="351">
        <f>IFERROR((B40/(1+$A149)^1+C40/(1+$A149)^2+D40/(1+$A149)^3+E40/(1+$A149)^4+F40/(1+$A149)^5+(F40*(1+C$148)/($A149-C$148))/(1+$A149)^5-B56-B57+B58)/B60,"-")</f>
        <v>314.4554212520584</v>
      </c>
      <c r="D149" s="351">
        <f>IFERROR((B40/(1+$A149)^1+C40/(1+$A149)^2+D40/(1+$A149)^3+E40/(1+$A149)^4+F40/(1+$A149)^5+(F40*(1+D$148)/($A149-D$148))/(1+$A149)^5-B56-B57+B58)/B60,"-")</f>
        <v>343.7528782451563</v>
      </c>
      <c r="E149" s="351">
        <f>IFERROR((B40/(1+$A149)^1+C40/(1+$A149)^2+D40/(1+$A149)^3+E40/(1+$A149)^4+F40/(1+$A149)^5+(F40*(1+E$148)/($A149-E$148))/(1+$A149)^5-B56-B57+B58)/B60,"-")</f>
        <v>380.14772081087017</v>
      </c>
      <c r="F149" s="351">
        <f>IFERROR((B40/(1+$A149)^1+C40/(1+$A149)^2+D40/(1+$A149)^3+E40/(1+$A149)^4+F40/(1+$A149)^5+(F40*(1+F$148)/($A149-F$148))/(1+$A149)^5-B56-B57+B58)/B60,"-")</f>
        <v>426.57443241965814</v>
      </c>
      <c r="G149" s="351">
        <f>IFERROR((B40/(1+$A149)^1+C40/(1+$A149)^2+D40/(1+$A149)^3+E40/(1+$A149)^4+F40/(1+$A149)^5+(F40*(1+G$148)/($A149-G$148))/(1+$A149)^5-B56-B57+B58)/B60,"-")</f>
        <v>487.843811284561</v>
      </c>
      <c r="H149" s="351">
        <f>IFERROR((B40/(1+$A149)^1+C40/(1+$A149)^2+D40/(1+$A149)^3+E40/(1+$A149)^4+F40/(1+$A149)^5+(F40*(1+H$148)/($A149-H$148))/(1+$A149)^5-B56-B57+B58)/B60,"-")</f>
        <v>572.4279495636616</v>
      </c>
      <c r="I149" s="272"/>
      <c r="J149" s="272"/>
      <c r="K149" s="261"/>
    </row>
    <row r="150" ht="15" customHeight="1" s="74">
      <c r="A150" s="364">
        <f>IFERROR($B$15-0.015,"-")</f>
        <v>0.07627922414999999</v>
      </c>
      <c r="B150" s="350">
        <f>IFERROR((B40/(1+$A150)^1+C40/(1+$A150)^2+D40/(1+$A150)^3+E40/(1+$A150)^4+F40/(1+$A150)^5+(F40*(1+B$148)/($A150-B$148))/(1+$A150)^5-B56-B57+B58)/B60,"-")</f>
        <v>265.4384584804918</v>
      </c>
      <c r="C150" s="350">
        <f>IFERROR((B40/(1+$A150)^1+C40/(1+$A150)^2+D40/(1+$A150)^3+E40/(1+$A150)^4+F40/(1+$A150)^5+(F40*(1+C$148)/($A150-C$148))/(1+$A150)^5-B56-B57+B58)/B60,"-")</f>
        <v>285.2266900010236</v>
      </c>
      <c r="D150" s="350">
        <f>IFERROR((B40/(1+$A150)^1+C40/(1+$A150)^2+D40/(1+$A150)^3+E40/(1+$A150)^4+F40/(1+$A150)^5+(F40*(1+D$148)/($A150-D$148))/(1+$A150)^5-B56-B57+B58)/B60,"-")</f>
        <v>308.8738394066326</v>
      </c>
      <c r="E150" s="350">
        <f>IFERROR((B40/(1+$A150)^1+C40/(1+$A150)^2+D40/(1+$A150)^3+E40/(1+$A150)^4+F40/(1+$A150)^5+(F40*(1+E$148)/($A150-E$148))/(1+$A150)^5-B56-B57+B58)/B60,"-")</f>
        <v>337.6306573168312</v>
      </c>
      <c r="F150" s="350">
        <f>IFERROR((B40/(1+$A150)^1+C40/(1+$A150)^2+D40/(1+$A150)^3+E40/(1+$A150)^4+F40/(1+$A150)^5+(F40*(1+F$148)/($A150-F$148))/(1+$A150)^5-B56-B57+B58)/B60,"-")</f>
        <v>373.3538895679829</v>
      </c>
      <c r="G150" s="350">
        <f>IFERROR((B40/(1+$A150)^1+C40/(1+$A150)^2+D40/(1+$A150)^3+E40/(1+$A150)^4+F40/(1+$A150)^5+(F40*(1+G$148)/($A150-G$148))/(1+$A150)^5-B56-B57+B58)/B60,"-")</f>
        <v>418.9238682940458</v>
      </c>
      <c r="H150" s="350">
        <f>IFERROR((B40/(1+$A150)^1+C40/(1+$A150)^2+D40/(1+$A150)^3+E40/(1+$A150)^4+F40/(1+$A150)^5+(F40*(1+H$148)/($A150-H$148))/(1+$A150)^5-B56-B57+B58)/B60,"-")</f>
        <v>479.0626158960663</v>
      </c>
      <c r="I150" s="315"/>
      <c r="J150" s="315"/>
      <c r="K150" s="261"/>
    </row>
    <row r="151" ht="15" customHeight="1" s="74">
      <c r="A151" s="363">
        <f>IFERROR($B$15-0.01,"-")</f>
        <v>0.08127922415</v>
      </c>
      <c r="B151" s="351">
        <f>IFERROR((B40/(1+$A151)^1+C40/(1+$A151)^2+D40/(1+$A151)^3+E40/(1+$A151)^4+F40/(1+$A151)^5+(F40*(1+B$148)/($A151-B$148))/(1+$A151)^5-B56-B57+B58)/B60,"-")</f>
        <v>244.28631912152537</v>
      </c>
      <c r="C151" s="351">
        <f>IFERROR((B40/(1+$A151)^1+C40/(1+$A151)^2+D40/(1+$A151)^3+E40/(1+$A151)^4+F40/(1+$A151)^5+(F40*(1+C$148)/($A151-C$148))/(1+$A151)^5-B56-B57+B58)/B60,"-")</f>
        <v>260.78032187494847</v>
      </c>
      <c r="D151" s="351">
        <f>IFERROR((B40/(1+$A151)^1+C40/(1+$A151)^2+D40/(1+$A151)^3+E40/(1+$A151)^4+F40/(1+$A151)^5+(F40*(1+D$148)/($A151-D$148))/(1+$A151)^5-B56-B57+B58)/B60,"-")</f>
        <v>280.20506914422737</v>
      </c>
      <c r="E151" s="351">
        <f>IFERROR((B40/(1+$A151)^1+C40/(1+$A151)^2+D40/(1+$A151)^3+E40/(1+$A151)^4+F40/(1+$A151)^5+(F40*(1+E$148)/($A151-E$148))/(1+$A151)^5-B56-B57+B58)/B60,"-")</f>
        <v>303.41785096185646</v>
      </c>
      <c r="F151" s="351">
        <f>IFERROR((B40/(1+$A151)^1+C40/(1+$A151)^2+D40/(1+$A151)^3+E40/(1+$A151)^4+F40/(1+$A151)^5+(F40*(1+F$148)/($A151-F$148))/(1+$A151)^5-B56-B57+B58)/B60,"-")</f>
        <v>331.6464432741453</v>
      </c>
      <c r="G151" s="351">
        <f>IFERROR((B40/(1+$A151)^1+C40/(1+$A151)^2+D40/(1+$A151)^3+E40/(1+$A151)^4+F40/(1+$A151)^5+(F40*(1+G$148)/($A151-G$148))/(1+$A151)^5-B56-B57+B58)/B60,"-")</f>
        <v>366.7134858949267</v>
      </c>
      <c r="H151" s="351">
        <f>IFERROR((B40/(1+$A151)^1+C40/(1+$A151)^2+D40/(1+$A151)^3+E40/(1+$A151)^4+F40/(1+$A151)^5+(F40*(1+H$148)/($A151-H$148))/(1+$A151)^5-B56-B57+B58)/B60,"-")</f>
        <v>411.4464029775744</v>
      </c>
      <c r="I151" s="272"/>
      <c r="J151" s="272"/>
      <c r="K151" s="261"/>
    </row>
    <row r="152" ht="15" customHeight="1" s="74">
      <c r="A152" s="364">
        <f>IFERROR($B$15-0.005,"-")</f>
        <v>0.08627922414999999</v>
      </c>
      <c r="B152" s="350">
        <f>IFERROR((B40/(1+$A152)^1+C40/(1+$A152)^2+D40/(1+$A152)^3+E40/(1+$A152)^4+F40/(1+$A152)^5+(F40*(1+B$148)/($A152-B$148))/(1+$A152)^5-B56-B57+B58)/B60,"-")</f>
        <v>226.112993387233</v>
      </c>
      <c r="C152" s="350">
        <f>IFERROR((B40/(1+$A152)^1+C40/(1+$A152)^2+D40/(1+$A152)^3+E40/(1+$A152)^4+F40/(1+$A152)^5+(F40*(1+C$148)/($A152-C$148))/(1+$A152)^5-B56-B57+B58)/B60,"-")</f>
        <v>240.03371976269963</v>
      </c>
      <c r="D152" s="350">
        <f>IFERROR((B40/(1+$A152)^1+C40/(1+$A152)^2+D40/(1+$A152)^3+E40/(1+$A152)^4+F40/(1+$A152)^5+(F40*(1+D$148)/($A152-D$148))/(1+$A152)^5-B56-B57+B58)/B60,"-")</f>
        <v>256.2261339032383</v>
      </c>
      <c r="E152" s="350">
        <f>IFERROR((B40/(1+$A152)^1+C40/(1+$A152)^2+D40/(1+$A152)^3+E40/(1+$A152)^4+F40/(1+$A152)^5+(F40*(1+E$148)/($A152-E$148))/(1+$A152)^5-B56-B57+B58)/B60,"-")</f>
        <v>275.295704647319</v>
      </c>
      <c r="F152" s="350">
        <f>IFERROR((B40/(1+$A152)^1+C40/(1+$A152)^2+D40/(1+$A152)^3+E40/(1+$A152)^4+F40/(1+$A152)^5+(F40*(1+F$148)/($A152-F$148))/(1+$A152)^5-B56-B57+B58)/B60,"-")</f>
        <v>298.0840466989176</v>
      </c>
      <c r="G152" s="350">
        <f>IFERROR((B40/(1+$A152)^1+C40/(1+$A152)^2+D40/(1+$A152)^3+E40/(1+$A152)^4+F40/(1+$A152)^5+(F40*(1+G$148)/($A152-G$148))/(1+$A152)^5-B56-B57+B58)/B60,"-")</f>
        <v>325.7964864358485</v>
      </c>
      <c r="H152" s="350">
        <f>IFERROR((B40/(1+$A152)^1+C40/(1+$A152)^2+D40/(1+$A152)^3+E40/(1+$A152)^4+F40/(1+$A152)^5+(F40*(1+H$148)/($A152-H$148))/(1+$A152)^5-B56-B57+B58)/B60,"-")</f>
        <v>360.22233717009607</v>
      </c>
      <c r="I152" s="315"/>
      <c r="J152" s="315"/>
      <c r="K152" s="261"/>
    </row>
    <row r="153" ht="15" customHeight="1" s="74">
      <c r="A153" s="365">
        <f>IFERROR($B$15,"-")</f>
        <v>0.09127922414999999</v>
      </c>
      <c r="B153" s="351">
        <f>IFERROR((B40/(1+$A153)^1+C40/(1+$A153)^2+D40/(1+$A153)^3+E40/(1+$A153)^4+F40/(1+$A153)^5+(F40*(1+B$148)/($A153-B$148))/(1+$A153)^5-B56-B57+B58)/B60,"-")</f>
        <v>210.33246088538206</v>
      </c>
      <c r="C153" s="351">
        <f>IFERROR((B40/(1+$A153)^1+C40/(1+$A153)^2+D40/(1+$A153)^3+E40/(1+$A153)^4+F40/(1+$A153)^5+(F40*(1+C$148)/($A153-C$148))/(1+$A153)^5-B56-B57+B58)/B60,"-")</f>
        <v>222.2080562390264</v>
      </c>
      <c r="D153" s="351">
        <f>IFERROR((B40/(1+$A153)^1+C40/(1+$A153)^2+D40/(1+$A153)^3+E40/(1+$A153)^4+F40/(1+$A153)^5+(F40*(1+D$148)/($A153-D$148))/(1+$A153)^5-B56-B57+B58)/B60,"-")</f>
        <v>235.87540391112998</v>
      </c>
      <c r="E153" s="366">
        <f>IFERROR((B40/(1+$A153)^1+C40/(1+$A153)^2+D40/(1+$A153)^3+E40/(1+$A153)^4+F40/(1+$A153)^5+(F40*(1+E$148)/($A153-E$148))/(1+$A153)^5-B56-B57+B58)/B60,"-")</f>
        <v>251.77309112517173</v>
      </c>
      <c r="F153" s="351">
        <f>IFERROR((B40/(1+$A153)^1+C40/(1+$A153)^2+D40/(1+$A153)^3+E40/(1+$A153)^4+F40/(1+$A153)^5+(F40*(1+F$148)/($A153-F$148))/(1+$A153)^5-B56-B57+B58)/B60,"-")</f>
        <v>270.4955662523641</v>
      </c>
      <c r="G153" s="351">
        <f>IFERROR((B40/(1+$A153)^1+C40/(1+$A153)^2+D40/(1+$A153)^3+E40/(1+$A153)^4+F40/(1+$A153)^5+(F40*(1+G$148)/($A153-G$148))/(1+$A153)^5-B56-B57+B58)/B60,"-")</f>
        <v>292.8691253102389</v>
      </c>
      <c r="H153" s="351">
        <f>IFERROR((B40/(1+$A153)^1+C40/(1+$A153)^2+D40/(1+$A153)^3+E40/(1+$A153)^4+F40/(1+$A153)^5+(F40*(1+H$148)/($A153-H$148))/(1+$A153)^5-B56-B57+B58)/B60,"-")</f>
        <v>320.0771558763995</v>
      </c>
      <c r="I153" s="272"/>
      <c r="J153" s="272"/>
      <c r="K153" s="261"/>
    </row>
    <row r="154" ht="15" customHeight="1" s="74">
      <c r="A154" s="364">
        <f>IFERROR($B$15+0.005,"-")</f>
        <v>0.09627922415</v>
      </c>
      <c r="B154" s="350">
        <f>IFERROR((B40/(1+$A154)^1+C40/(1+$A154)^2+D40/(1+$A154)^3+E40/(1+$A154)^4+F40/(1+$A154)^5+(F40*(1+B$148)/($A154-B$148))/(1+$A154)^5-B56-B57+B58)/B60,"-")</f>
        <v>196.5029072246107</v>
      </c>
      <c r="C154" s="350">
        <f>IFERROR((B40/(1+$A154)^1+C40/(1+$A154)^2+D40/(1+$A154)^3+E40/(1+$A154)^4+F40/(1+$A154)^5+(F40*(1+C$148)/($A154-C$148))/(1+$A154)^5-B56-B57+B58)/B60,"-")</f>
        <v>206.72871487195096</v>
      </c>
      <c r="D154" s="350">
        <f>IFERROR((B40/(1+$A154)^1+C40/(1+$A154)^2+D40/(1+$A154)^3+E40/(1+$A154)^4+F40/(1+$A154)^5+(F40*(1+D$148)/($A154-D$148))/(1+$A154)^5-B56-B57+B58)/B60,"-")</f>
        <v>218.38913516684477</v>
      </c>
      <c r="E154" s="350">
        <f>IFERROR((B40/(1+$A154)^1+C40/(1+$A154)^2+D40/(1+$A154)^3+E40/(1+$A154)^4+F40/(1+$A154)^5+(F40*(1+E$148)/($A154-E$148))/(1+$A154)^5-B56-B57+B58)/B60,"-")</f>
        <v>231.8088428469538</v>
      </c>
      <c r="F154" s="350">
        <f>IFERROR((B40/(1+$A154)^1+C40/(1+$A154)^2+D40/(1+$A154)^3+E40/(1+$A154)^4+F40/(1+$A154)^5+(F40*(1+F$148)/($A154-F$148))/(1+$A154)^5-B56-B57+B58)/B60,"-")</f>
        <v>247.41847833151076</v>
      </c>
      <c r="G154" s="350">
        <f>IFERROR((B40/(1+$A154)^1+C40/(1+$A154)^2+D40/(1+$A154)^3+E40/(1+$A154)^4+F40/(1+$A154)^5+(F40*(1+G$148)/($A154-G$148))/(1+$A154)^5-B56-B57+B58)/B60,"-")</f>
        <v>265.801719124299</v>
      </c>
      <c r="H154" s="350">
        <f>IFERROR((B40/(1+$A154)^1+C40/(1+$A154)^2+D40/(1+$A154)^3+E40/(1+$A154)^4+F40/(1+$A154)^5+(F40*(1+H$148)/($A154-H$148))/(1+$A154)^5-B56-B57+B58)/B60,"-")</f>
        <v>287.76988950553294</v>
      </c>
      <c r="I154" s="315"/>
      <c r="J154" s="315"/>
      <c r="K154" s="261"/>
    </row>
    <row r="155" ht="15" customHeight="1" s="74">
      <c r="A155" s="363">
        <f>IFERROR($B$15+0.01,"-")</f>
        <v>0.10127922414999999</v>
      </c>
      <c r="B155" s="351">
        <f>IFERROR((B40/(1+$A155)^1+C40/(1+$A155)^2+D40/(1+$A155)^3+E40/(1+$A155)^4+F40/(1+$A155)^5+(F40*(1+B$148)/($A155-B$148))/(1+$A155)^5-B56-B57+B58)/B60,"-")</f>
        <v>184.28493912014767</v>
      </c>
      <c r="C155" s="351">
        <f>IFERROR((B40/(1+$A155)^1+C40/(1+$A155)^2+D40/(1+$A155)^3+E40/(1+$A155)^4+F40/(1+$A155)^5+(F40*(1+C$148)/($A155-C$148))/(1+$A155)^5-B56-B57+B58)/B60,"-")</f>
        <v>193.1624784539588</v>
      </c>
      <c r="D155" s="351">
        <f>IFERROR((B40/(1+$A155)^1+C40/(1+$A155)^2+D40/(1+$A155)^3+E40/(1+$A155)^4+F40/(1+$A155)^5+(F40*(1+D$148)/($A155-D$148))/(1+$A155)^5-B56-B57+B58)/B60,"-")</f>
        <v>203.20383918641895</v>
      </c>
      <c r="E155" s="351">
        <f>IFERROR((B40/(1+$A155)^1+C40/(1+$A155)^2+D40/(1+$A155)^3+E40/(1+$A155)^4+F40/(1+$A155)^5+(F40*(1+E$148)/($A155-E$148))/(1+$A155)^5-B56-B57+B58)/B60,"-")</f>
        <v>214.65393589380062</v>
      </c>
      <c r="F155" s="351">
        <f>IFERROR((B40/(1+$A155)^1+C40/(1+$A155)^2+D40/(1+$A155)^3+E40/(1+$A155)^4+F40/(1+$A155)^5+(F40*(1+F$148)/($A155-F$148))/(1+$A155)^5-B56-B57+B58)/B60,"-")</f>
        <v>227.8315870278105</v>
      </c>
      <c r="G155" s="351">
        <f>IFERROR((B40/(1+$A155)^1+C40/(1+$A155)^2+D40/(1+$A155)^3+E40/(1+$A155)^4+F40/(1+$A155)^5+(F40*(1+G$148)/($A155-G$148))/(1+$A155)^5-B56-B57+B58)/B60,"-")</f>
        <v>243.1596653770465</v>
      </c>
      <c r="H155" s="351">
        <f>IFERROR((B40/(1+$A155)^1+C40/(1+$A155)^2+D40/(1+$A155)^3+E40/(1+$A155)^4+F40/(1+$A155)^5+(F40*(1+H$148)/($A155-H$148))/(1+$A155)^5-B56-B57+B58)/B60,"-")</f>
        <v>261.211320424565</v>
      </c>
      <c r="I155" s="272"/>
      <c r="J155" s="272"/>
      <c r="K155" s="261"/>
    </row>
    <row r="156" ht="15" customHeight="1" s="74">
      <c r="A156" s="364">
        <f>IFERROR($B$15+0.015,"-")</f>
        <v>0.10627922414999999</v>
      </c>
      <c r="B156" s="350">
        <f>IFERROR((B40/(1+$A156)^1+C40/(1+$A156)^2+D40/(1+$A156)^3+E40/(1+$A156)^4+F40/(1+$A156)^5+(F40*(1+B$148)/($A156-B$148))/(1+$A156)^5-B56-B57+B58)/B60,"-")</f>
        <v>173.41353260843033</v>
      </c>
      <c r="C156" s="350">
        <f>IFERROR((B40/(1+$A156)^1+C40/(1+$A156)^2+D40/(1+$A156)^3+E40/(1+$A156)^4+F40/(1+$A156)^5+(F40*(1+C$148)/($A156-C$148))/(1+$A156)^5-B56-B57+B58)/B60,"-")</f>
        <v>181.17655741235615</v>
      </c>
      <c r="D156" s="350">
        <f>IFERROR((B40/(1+$A156)^1+C40/(1+$A156)^2+D40/(1+$A156)^3+E40/(1+$A156)^4+F40/(1+$A156)^5+(F40*(1+D$148)/($A156-D$148))/(1+$A156)^5-B56-B57+B58)/B60,"-")</f>
        <v>189.89468788874748</v>
      </c>
      <c r="E156" s="350">
        <f>IFERROR((B40/(1+$A156)^1+C40/(1+$A156)^2+D40/(1+$A156)^3+E40/(1+$A156)^4+F40/(1+$A156)^5+(F40*(1+E$148)/($A156-E$148))/(1+$A156)^5-B56-B57+B58)/B60,"-")</f>
        <v>199.75574169367817</v>
      </c>
      <c r="F156" s="350">
        <f>IFERROR((B40/(1+$A156)^1+C40/(1+$A156)^2+D40/(1+$A156)^3+E40/(1+$A156)^4+F40/(1+$A156)^5+(F40*(1+F$148)/($A156-F$148))/(1+$A156)^5-B56-B57+B58)/B60,"-")</f>
        <v>211.00023561352626</v>
      </c>
      <c r="G156" s="350">
        <f>IFERROR((B40/(1+$A156)^1+C40/(1+$A156)^2+D40/(1+$A156)^3+E40/(1+$A156)^4+F40/(1+$A156)^5+(F40*(1+G$148)/($A156-G$148))/(1+$A156)^5-B56-B57+B58)/B60,"-")</f>
        <v>223.94126326080618</v>
      </c>
      <c r="H156" s="350">
        <f>IFERROR((B40/(1+$A156)^1+C40/(1+$A156)^2+D40/(1+$A156)^3+E40/(1+$A156)^4+F40/(1+$A156)^5+(F40*(1+H$148)/($A156-H$148))/(1+$A156)^5-B56-B57+B58)/B60,"-")</f>
        <v>238.9941041411652</v>
      </c>
      <c r="I156" s="315"/>
      <c r="J156" s="315"/>
      <c r="K156" s="261"/>
    </row>
    <row r="157" ht="15" customHeight="1" s="74">
      <c r="A157" s="363">
        <f>IFERROR($B$15+0.02,"-")</f>
        <v>0.11127922415</v>
      </c>
      <c r="B157" s="351">
        <f>IFERROR((B40/(1+$A157)^1+C40/(1+$A157)^2+D40/(1+$A157)^3+E40/(1+$A157)^4+F40/(1+$A157)^5+(F40*(1+B$148)/($A157-B$148))/(1+$A157)^5-B56-B57+B58)/B60,"-")</f>
        <v>163.67872202833854</v>
      </c>
      <c r="C157" s="351">
        <f>IFERROR((B40/(1+$A157)^1+C40/(1+$A157)^2+D40/(1+$A157)^3+E40/(1+$A157)^4+F40/(1+$A157)^5+(F40*(1+C$148)/($A157-C$148))/(1+$A157)^5-B56-B57+B58)/B60,"-")</f>
        <v>170.51108402547698</v>
      </c>
      <c r="D157" s="351">
        <f>IFERROR((B40/(1+$A157)^1+C40/(1+$A157)^2+D40/(1+$A157)^3+E40/(1+$A157)^4+F40/(1+$A157)^5+(F40*(1+D$148)/($A157-D$148))/(1+$A157)^5-B56-B57+B58)/B60,"-")</f>
        <v>178.13533561880143</v>
      </c>
      <c r="E157" s="351">
        <f>IFERROR((B40/(1+$A157)^1+C40/(1+$A157)^2+D40/(1+$A157)^3+E40/(1+$A157)^4+F40/(1+$A157)^5+(F40*(1+E$148)/($A157-E$148))/(1+$A157)^5-B56-B57+B58)/B60,"-")</f>
        <v>186.69761924590296</v>
      </c>
      <c r="F157" s="351">
        <f>IFERROR((B40/(1+$A157)^1+C40/(1+$A157)^2+D40/(1+$A157)^3+E40/(1+$A157)^4+F40/(1+$A157)^5+(F40*(1+F$148)/($A157-F$148))/(1+$A157)^5-B56-B57+B58)/B60,"-")</f>
        <v>196.38239510106695</v>
      </c>
      <c r="G157" s="351">
        <f>IFERROR((B40/(1+$A157)^1+C40/(1+$A157)^2+D40/(1+$A157)^3+E40/(1+$A157)^4+F40/(1+$A157)^5+(F40*(1+G$148)/($A157-G$148))/(1+$A157)^5-B56-B57+B58)/B60,"-")</f>
        <v>207.42588044986738</v>
      </c>
      <c r="H157" s="351">
        <f>IFERROR((B40/(1+$A157)^1+C40/(1+$A157)^2+D40/(1+$A157)^3+E40/(1+$A157)^4+F40/(1+$A157)^5+(F40*(1+H$148)/($A157-H$148))/(1+$A157)^5-B56-B57+B58)/B60,"-")</f>
        <v>220.13557198777576</v>
      </c>
      <c r="I157" s="272"/>
      <c r="J157" s="272"/>
      <c r="K157" s="261"/>
    </row>
    <row r="158" ht="15" customHeight="1" s="74">
      <c r="A158" s="10"/>
      <c r="B158" s="10"/>
      <c r="C158" s="10"/>
      <c r="D158" s="10"/>
      <c r="E158" s="10"/>
      <c r="F158" s="10"/>
      <c r="G158" s="10"/>
      <c r="H158" s="10"/>
      <c r="I158" s="10"/>
      <c r="J158" s="10"/>
    </row>
    <row r="159" ht="19" customHeight="1" s="74">
      <c r="A159" s="226" t="inlineStr">
        <is>
          <t>7b. SENSITIVITY: WACC × EXIT MULTIPLE → DCF FV/SHARE</t>
        </is>
      </c>
    </row>
    <row r="160" ht="15" customHeight="1" s="74">
      <c r="A160" s="361" t="inlineStr">
        <is>
          <t>WACC \ Exit Mult</t>
        </is>
      </c>
      <c r="B160" s="367">
        <f>IFERROR($B$27-6,"-")</f>
        <v>9.0</v>
      </c>
      <c r="C160" s="367">
        <f>IFERROR($B$27-4,"-")</f>
        <v>11.0</v>
      </c>
      <c r="D160" s="367">
        <f>IFERROR($B$27-2,"-")</f>
        <v>13.0</v>
      </c>
      <c r="E160" s="367">
        <f>IFERROR($B$27,"-")</f>
        <v>15.0</v>
      </c>
      <c r="F160" s="367">
        <f>IFERROR($B$27+2,"-")</f>
        <v>17.0</v>
      </c>
      <c r="G160" s="367">
        <f>IFERROR($B$27+4,"-")</f>
        <v>19.0</v>
      </c>
      <c r="H160" s="367">
        <f>IFERROR($B$27+6,"-")</f>
        <v>21.0</v>
      </c>
      <c r="I160" s="315"/>
      <c r="J160" s="315"/>
      <c r="K160" s="261"/>
      <c r="M160" s="308"/>
    </row>
    <row r="161" ht="15" customHeight="1" s="74">
      <c r="A161" s="363">
        <f>IFERROR($B$15-0.02,"-")</f>
        <v>0.07127922414999999</v>
      </c>
      <c r="B161" s="351">
        <f>IFERROR((B40/(1+$A161)^1+C40/(1+$A161)^2+D40/(1+$A161)^3+E40/(1+$A161)^4+F40/(1+$A161)^5+F32*B$160/(1+$A161)^5-Data!L36-Data!L42+B58)/B60,"-")</f>
        <v>214.70675776564582</v>
      </c>
      <c r="C161" s="351">
        <f>IFERROR((B40/(1+$A161)^1+C40/(1+$A161)^2+D40/(1+$A161)^3+E40/(1+$A161)^4+F40/(1+$A161)^5+F32*C$160/(1+$A161)^5-Data!L36-Data!L42+B58)/B60,"-")</f>
        <v>249.91648035241823</v>
      </c>
      <c r="D161" s="351">
        <f>IFERROR((B40/(1+$A161)^1+C40/(1+$A161)^2+D40/(1+$A161)^3+E40/(1+$A161)^4+F40/(1+$A161)^5+F32*D$160/(1+$A161)^5-Data!L36-Data!L42+B58)/B60,"-")</f>
        <v>285.1262029391907</v>
      </c>
      <c r="E161" s="351">
        <f>IFERROR((B40/(1+$A161)^1+C40/(1+$A161)^2+D40/(1+$A161)^3+E40/(1+$A161)^4+F40/(1+$A161)^5+F32*E$160/(1+$A161)^5-Data!L36-Data!L42+B58)/B60,"-")</f>
        <v>320.33592552596315</v>
      </c>
      <c r="F161" s="351">
        <f>IFERROR((B40/(1+$A161)^1+C40/(1+$A161)^2+D40/(1+$A161)^3+E40/(1+$A161)^4+F40/(1+$A161)^5+F32*F$160/(1+$A161)^5-Data!L36-Data!L42+B58)/B60,"-")</f>
        <v>355.5456481127356</v>
      </c>
      <c r="G161" s="351">
        <f>IFERROR((B40/(1+$A161)^1+C40/(1+$A161)^2+D40/(1+$A161)^3+E40/(1+$A161)^4+F40/(1+$A161)^5+F32*G$160/(1+$A161)^5-Data!L36-Data!L42+B58)/B60,"-")</f>
        <v>390.75537069950803</v>
      </c>
      <c r="H161" s="351">
        <f>IFERROR((B40/(1+$A161)^1+C40/(1+$A161)^2+D40/(1+$A161)^3+E40/(1+$A161)^4+F40/(1+$A161)^5+F32*H$160/(1+$A161)^5-Data!L36-Data!L42+B58)/B60,"-")</f>
        <v>425.9650932862805</v>
      </c>
      <c r="I161" s="272"/>
      <c r="J161" s="272"/>
      <c r="K161" s="261"/>
    </row>
    <row r="162" ht="15" customHeight="1" s="74">
      <c r="A162" s="364">
        <f>IFERROR($B$15-0.015,"-")</f>
        <v>0.07627922414999999</v>
      </c>
      <c r="B162" s="350">
        <f>IFERROR((B40/(1+$A162)^1+C40/(1+$A162)^2+D40/(1+$A162)^3+E40/(1+$A162)^4+F40/(1+$A162)^5+F32*B$160/(1+$A162)^5-Data!L36-Data!L42+B58)/B60,"-")</f>
        <v>210.18420496785734</v>
      </c>
      <c r="C162" s="350">
        <f>IFERROR((B40/(1+$A162)^1+C40/(1+$A162)^2+D40/(1+$A162)^3+E40/(1+$A162)^4+F40/(1+$A162)^5+F32*C$160/(1+$A162)^5-Data!L36-Data!L42+B58)/B60,"-")</f>
        <v>244.5836337420857</v>
      </c>
      <c r="D162" s="350">
        <f>IFERROR((B40/(1+$A162)^1+C40/(1+$A162)^2+D40/(1+$A162)^3+E40/(1+$A162)^4+F40/(1+$A162)^5+F32*D$160/(1+$A162)^5-Data!L36-Data!L42+B58)/B60,"-")</f>
        <v>278.9830625163142</v>
      </c>
      <c r="E162" s="350">
        <f>IFERROR((B40/(1+$A162)^1+C40/(1+$A162)^2+D40/(1+$A162)^3+E40/(1+$A162)^4+F40/(1+$A162)^5+F32*E$160/(1+$A162)^5-Data!L36-Data!L42+B58)/B60,"-")</f>
        <v>313.38249129054253</v>
      </c>
      <c r="F162" s="350">
        <f>IFERROR((B40/(1+$A162)^1+C40/(1+$A162)^2+D40/(1+$A162)^3+E40/(1+$A162)^4+F40/(1+$A162)^5+F32*F$160/(1+$A162)^5-Data!L36-Data!L42+B58)/B60,"-")</f>
        <v>347.781920064771</v>
      </c>
      <c r="G162" s="350">
        <f>IFERROR((B40/(1+$A162)^1+C40/(1+$A162)^2+D40/(1+$A162)^3+E40/(1+$A162)^4+F40/(1+$A162)^5+F32*G$160/(1+$A162)^5-Data!L36-Data!L42+B58)/B60,"-")</f>
        <v>382.1813488389994</v>
      </c>
      <c r="H162" s="350">
        <f>IFERROR((B40/(1+$A162)^1+C40/(1+$A162)^2+D40/(1+$A162)^3+E40/(1+$A162)^4+F40/(1+$A162)^5+F32*H$160/(1+$A162)^5-Data!L36-Data!L42+B58)/B60,"-")</f>
        <v>416.58077761322784</v>
      </c>
      <c r="I162" s="315"/>
      <c r="J162" s="315"/>
      <c r="K162" s="261"/>
    </row>
    <row r="163" ht="15" customHeight="1" s="74">
      <c r="A163" s="363">
        <f>IFERROR($B$15-0.01,"-")</f>
        <v>0.08127922415</v>
      </c>
      <c r="B163" s="351">
        <f>IFERROR((B40/(1+$A163)^1+C40/(1+$A163)^2+D40/(1+$A163)^3+E40/(1+$A163)^4+F40/(1+$A163)^5+F32*B$160/(1+$A163)^5-Data!L36-Data!L42+B58)/B60,"-")</f>
        <v>205.78079476361702</v>
      </c>
      <c r="C163" s="351">
        <f>IFERROR((B40/(1+$A163)^1+C40/(1+$A163)^2+D40/(1+$A163)^3+E40/(1+$A163)^4+F40/(1+$A163)^5+F32*C$160/(1+$A163)^5-Data!L36-Data!L42+B58)/B60,"-")</f>
        <v>239.39220414103502</v>
      </c>
      <c r="D163" s="351">
        <f>IFERROR((B40/(1+$A163)^1+C40/(1+$A163)^2+D40/(1+$A163)^3+E40/(1+$A163)^4+F40/(1+$A163)^5+F32*D$160/(1+$A163)^5-Data!L36-Data!L42+B58)/B60,"-")</f>
        <v>273.00361351845305</v>
      </c>
      <c r="E163" s="351">
        <f>IFERROR((B40/(1+$A163)^1+C40/(1+$A163)^2+D40/(1+$A163)^3+E40/(1+$A163)^4+F40/(1+$A163)^5+F32*E$160/(1+$A163)^5-Data!L36-Data!L42+B58)/B60,"-")</f>
        <v>306.61502289587105</v>
      </c>
      <c r="F163" s="351">
        <f>IFERROR((B40/(1+$A163)^1+C40/(1+$A163)^2+D40/(1+$A163)^3+E40/(1+$A163)^4+F40/(1+$A163)^5+F32*F$160/(1+$A163)^5-Data!L36-Data!L42+B58)/B60,"-")</f>
        <v>340.2264322732891</v>
      </c>
      <c r="G163" s="351">
        <f>IFERROR((B40/(1+$A163)^1+C40/(1+$A163)^2+D40/(1+$A163)^3+E40/(1+$A163)^4+F40/(1+$A163)^5+F32*G$160/(1+$A163)^5-Data!L36-Data!L42+B58)/B60,"-")</f>
        <v>373.83784165070705</v>
      </c>
      <c r="H163" s="351">
        <f>IFERROR((B40/(1+$A163)^1+C40/(1+$A163)^2+D40/(1+$A163)^3+E40/(1+$A163)^4+F40/(1+$A163)^5+F32*H$160/(1+$A163)^5-Data!L36-Data!L42+B58)/B60,"-")</f>
        <v>407.4492510281251</v>
      </c>
      <c r="I163" s="272"/>
      <c r="J163" s="272"/>
      <c r="K163" s="261"/>
    </row>
    <row r="164" ht="15" customHeight="1" s="74">
      <c r="A164" s="364">
        <f>IFERROR($B$15-0.005,"-")</f>
        <v>0.08627922414999999</v>
      </c>
      <c r="B164" s="350">
        <f>IFERROR((B40/(1+$A164)^1+C40/(1+$A164)^2+D40/(1+$A164)^3+E40/(1+$A164)^4+F40/(1+$A164)^5+F32*B$160/(1+$A164)^5-Data!L36-Data!L42+B58)/B60,"-")</f>
        <v>201.49280711559368</v>
      </c>
      <c r="C164" s="350">
        <f>IFERROR((B40/(1+$A164)^1+C40/(1+$A164)^2+D40/(1+$A164)^3+E40/(1+$A164)^4+F40/(1+$A164)^5+F32*C$160/(1+$A164)^5-Data!L36-Data!L42+B58)/B60,"-")</f>
        <v>234.33776041517396</v>
      </c>
      <c r="D164" s="350">
        <f>IFERROR((B40/(1+$A164)^1+C40/(1+$A164)^2+D40/(1+$A164)^3+E40/(1+$A164)^4+F40/(1+$A164)^5+F32*D$160/(1+$A164)^5-Data!L36-Data!L42+B58)/B60,"-")</f>
        <v>267.1827137147543</v>
      </c>
      <c r="E164" s="350">
        <f>IFERROR((B40/(1+$A164)^1+C40/(1+$A164)^2+D40/(1+$A164)^3+E40/(1+$A164)^4+F40/(1+$A164)^5+F32*E$160/(1+$A164)^5-Data!L36-Data!L42+B58)/B60,"-")</f>
        <v>300.0276670143346</v>
      </c>
      <c r="F164" s="350">
        <f>IFERROR((B40/(1+$A164)^1+C40/(1+$A164)^2+D40/(1+$A164)^3+E40/(1+$A164)^4+F40/(1+$A164)^5+F32*F$160/(1+$A164)^5-Data!L36-Data!L42+B58)/B60,"-")</f>
        <v>332.872620313915</v>
      </c>
      <c r="G164" s="350">
        <f>IFERROR((B40/(1+$A164)^1+C40/(1+$A164)^2+D40/(1+$A164)^3+E40/(1+$A164)^4+F40/(1+$A164)^5+F32*G$160/(1+$A164)^5-Data!L36-Data!L42+B58)/B60,"-")</f>
        <v>365.71757361349523</v>
      </c>
      <c r="H164" s="350">
        <f>IFERROR((B40/(1+$A164)^1+C40/(1+$A164)^2+D40/(1+$A164)^3+E40/(1+$A164)^4+F40/(1+$A164)^5+F32*H$160/(1+$A164)^5-Data!L36-Data!L42+B58)/B60,"-")</f>
        <v>398.5625269130756</v>
      </c>
      <c r="I164" s="315"/>
      <c r="J164" s="315"/>
      <c r="K164" s="261"/>
    </row>
    <row r="165" ht="15" customHeight="1" s="74">
      <c r="A165" s="365">
        <f>IFERROR($B$15,"-")</f>
        <v>0.09127922414999999</v>
      </c>
      <c r="B165" s="351">
        <f>IFERROR((B40/(1+$A165)^1+C40/(1+$A165)^2+D40/(1+$A165)^3+E40/(1+$A165)^4+F40/(1+$A165)^5+F32*B$160/(1+$A165)^5-Data!L36-Data!L42+B58)/B60,"-")</f>
        <v>197.3166552627943</v>
      </c>
      <c r="C165" s="351">
        <f>IFERROR((B40/(1+$A165)^1+C40/(1+$A165)^2+D40/(1+$A165)^3+E40/(1+$A165)^4+F40/(1+$A165)^5+F32*C$160/(1+$A165)^5-Data!L36-Data!L42+B58)/B60,"-")</f>
        <v>229.41603053314967</v>
      </c>
      <c r="D165" s="351">
        <f>IFERROR((B40/(1+$A165)^1+C40/(1+$A165)^2+D40/(1+$A165)^3+E40/(1+$A165)^4+F40/(1+$A165)^5+F32*D$160/(1+$A165)^5-Data!L36-Data!L42+B58)/B60,"-")</f>
        <v>261.5154058035051</v>
      </c>
      <c r="E165" s="366">
        <f>IFERROR((B40/(1+$A165)^1+C40/(1+$A165)^2+D40/(1+$A165)^3+E40/(1+$A165)^4+F40/(1+$A165)^5+F32*E$160/(1+$A165)^5-Data!L36-Data!L42+B58)/B60,"-")</f>
        <v>293.61478107386046</v>
      </c>
      <c r="F165" s="351">
        <f>IFERROR((B40/(1+$A165)^1+C40/(1+$A165)^2+D40/(1+$A165)^3+E40/(1+$A165)^4+F40/(1+$A165)^5+F32*F$160/(1+$A165)^5-Data!L36-Data!L42+B58)/B60,"-")</f>
        <v>325.7141563442159</v>
      </c>
      <c r="G165" s="351">
        <f>IFERROR((B40/(1+$A165)^1+C40/(1+$A165)^2+D40/(1+$A165)^3+E40/(1+$A165)^4+F40/(1+$A165)^5+F32*G$160/(1+$A165)^5-Data!L36-Data!L42+B58)/B60,"-")</f>
        <v>357.81353161457133</v>
      </c>
      <c r="H165" s="351">
        <f>IFERROR((B40/(1+$A165)^1+C40/(1+$A165)^2+D40/(1+$A165)^3+E40/(1+$A165)^4+F40/(1+$A165)^5+F32*H$160/(1+$A165)^5-Data!L36-Data!L42+B58)/B60,"-")</f>
        <v>389.9129068849267</v>
      </c>
      <c r="I165" s="272"/>
      <c r="J165" s="272"/>
      <c r="K165" s="261"/>
    </row>
    <row r="166" ht="15" customHeight="1" s="74">
      <c r="A166" s="364">
        <f>IFERROR($B$15+0.005,"-")</f>
        <v>0.09627922415</v>
      </c>
      <c r="B166" s="350">
        <f>IFERROR((B40/(1+$A166)^1+C40/(1+$A166)^2+D40/(1+$A166)^3+E40/(1+$A166)^4+F40/(1+$A166)^5+F32*B$160/(1+$A166)^5-Data!L36-Data!L42+B58)/B60,"-")</f>
        <v>193.2488803495902</v>
      </c>
      <c r="C166" s="350">
        <f>IFERROR((B40/(1+$A166)^1+C40/(1+$A166)^2+D40/(1+$A166)^3+E40/(1+$A166)^4+F40/(1+$A166)^5+F32*C$160/(1+$A166)^5-Data!L36-Data!L42+B58)/B60,"-")</f>
        <v>224.6228951449101</v>
      </c>
      <c r="D166" s="350">
        <f>IFERROR((B40/(1+$A166)^1+C40/(1+$A166)^2+D40/(1+$A166)^3+E40/(1+$A166)^4+F40/(1+$A166)^5+F32*D$160/(1+$A166)^5-Data!L36-Data!L42+B58)/B60,"-")</f>
        <v>255.99690994022998</v>
      </c>
      <c r="E166" s="350">
        <f>IFERROR((B40/(1+$A166)^1+C40/(1+$A166)^2+D40/(1+$A166)^3+E40/(1+$A166)^4+F40/(1+$A166)^5+F32*E$160/(1+$A166)^5-Data!L36-Data!L42+B58)/B60,"-")</f>
        <v>287.37092473554986</v>
      </c>
      <c r="F166" s="350">
        <f>IFERROR((B40/(1+$A166)^1+C40/(1+$A166)^2+D40/(1+$A166)^3+E40/(1+$A166)^4+F40/(1+$A166)^5+F32*F$160/(1+$A166)^5-Data!L36-Data!L42+B58)/B60,"-")</f>
        <v>318.7449395308698</v>
      </c>
      <c r="G166" s="350">
        <f>IFERROR((B40/(1+$A166)^1+C40/(1+$A166)^2+D40/(1+$A166)^3+E40/(1+$A166)^4+F40/(1+$A166)^5+F32*G$160/(1+$A166)^5-Data!L36-Data!L42+B58)/B60,"-")</f>
        <v>350.1189543261896</v>
      </c>
      <c r="H166" s="350">
        <f>IFERROR((B40/(1+$A166)^1+C40/(1+$A166)^2+D40/(1+$A166)^3+E40/(1+$A166)^4+F40/(1+$A166)^5+F32*H$160/(1+$A166)^5-Data!L36-Data!L42+B58)/B60,"-")</f>
        <v>381.4929691215096</v>
      </c>
      <c r="I166" s="315"/>
      <c r="J166" s="315"/>
      <c r="K166" s="261"/>
    </row>
    <row r="167" ht="15" customHeight="1" s="74">
      <c r="A167" s="363">
        <f>IFERROR($B$15+0.01,"-")</f>
        <v>0.10127922414999999</v>
      </c>
      <c r="B167" s="351">
        <f>IFERROR((B40/(1+$A167)^1+C40/(1+$A167)^2+D40/(1+$A167)^3+E40/(1+$A167)^4+F40/(1+$A167)^5+F32*B$160/(1+$A167)^5-Data!L36-Data!L42+B58)/B60,"-")</f>
        <v>189.28614629476908</v>
      </c>
      <c r="C167" s="351">
        <f>IFERROR((B40/(1+$A167)^1+C40/(1+$A167)^2+D40/(1+$A167)^3+E40/(1+$A167)^4+F40/(1+$A167)^5+F32*C$160/(1+$A167)^5-Data!L36-Data!L42+B58)/B60,"-")</f>
        <v>219.95438144755127</v>
      </c>
      <c r="D167" s="351">
        <f>IFERROR((B40/(1+$A167)^1+C40/(1+$A167)^2+D40/(1+$A167)^3+E40/(1+$A167)^4+F40/(1+$A167)^5+F32*D$160/(1+$A167)^5-Data!L36-Data!L42+B58)/B60,"-")</f>
        <v>250.62261660033352</v>
      </c>
      <c r="E167" s="351">
        <f>IFERROR((B40/(1+$A167)^1+C40/(1+$A167)^2+D40/(1+$A167)^3+E40/(1+$A167)^4+F40/(1+$A167)^5+F32*E$160/(1+$A167)^5-Data!L36-Data!L42+B58)/B60,"-")</f>
        <v>281.2908517531157</v>
      </c>
      <c r="F167" s="351">
        <f>IFERROR((B40/(1+$A167)^1+C40/(1+$A167)^2+D40/(1+$A167)^3+E40/(1+$A167)^4+F40/(1+$A167)^5+F32*F$160/(1+$A167)^5-Data!L36-Data!L42+B58)/B60,"-")</f>
        <v>311.95908690589795</v>
      </c>
      <c r="G167" s="351">
        <f>IFERROR((B40/(1+$A167)^1+C40/(1+$A167)^2+D40/(1+$A167)^3+E40/(1+$A167)^4+F40/(1+$A167)^5+F32*G$160/(1+$A167)^5-Data!L36-Data!L42+B58)/B60,"-")</f>
        <v>342.62732205868014</v>
      </c>
      <c r="H167" s="351">
        <f>IFERROR((B40/(1+$A167)^1+C40/(1+$A167)^2+D40/(1+$A167)^3+E40/(1+$A167)^4+F40/(1+$A167)^5+F32*H$160/(1+$A167)^5-Data!L36-Data!L42+B58)/B60,"-")</f>
        <v>373.2955572114624</v>
      </c>
      <c r="I167" s="272"/>
      <c r="J167" s="272"/>
      <c r="K167" s="261"/>
    </row>
    <row r="168" ht="15" customHeight="1" s="74">
      <c r="A168" s="364">
        <f>IFERROR($B$15+0.015,"-")</f>
        <v>0.10627922414999999</v>
      </c>
      <c r="B168" s="350">
        <f>IFERROR((B40/(1+$A168)^1+C40/(1+$A168)^2+D40/(1+$A168)^3+E40/(1+$A168)^4+F40/(1+$A168)^5+F32*B$160/(1+$A168)^5-Data!L36-Data!L42+B58)/B60,"-")</f>
        <v>185.42523488885354</v>
      </c>
      <c r="C168" s="350">
        <f>IFERROR((B40/(1+$A168)^1+C40/(1+$A168)^2+D40/(1+$A168)^3+E40/(1+$A168)^4+F40/(1+$A168)^5+F32*C$160/(1+$A168)^5-Data!L36-Data!L42+B58)/B60,"-")</f>
        <v>215.40665732436366</v>
      </c>
      <c r="D168" s="350">
        <f>IFERROR((B40/(1+$A168)^1+C40/(1+$A168)^2+D40/(1+$A168)^3+E40/(1+$A168)^4+F40/(1+$A168)^5+F32*D$160/(1+$A168)^5-Data!L36-Data!L42+B58)/B60,"-")</f>
        <v>245.3880797598738</v>
      </c>
      <c r="E168" s="350">
        <f>IFERROR((B40/(1+$A168)^1+C40/(1+$A168)^2+D40/(1+$A168)^3+E40/(1+$A168)^4+F40/(1+$A168)^5+F32*E$160/(1+$A168)^5-Data!L36-Data!L42+B58)/B60,"-")</f>
        <v>275.3695021953839</v>
      </c>
      <c r="F168" s="350">
        <f>IFERROR((B40/(1+$A168)^1+C40/(1+$A168)^2+D40/(1+$A168)^3+E40/(1+$A168)^4+F40/(1+$A168)^5+F32*F$160/(1+$A168)^5-Data!L36-Data!L42+B58)/B60,"-")</f>
        <v>305.35092463089404</v>
      </c>
      <c r="G168" s="350">
        <f>IFERROR((B40/(1+$A168)^1+C40/(1+$A168)^2+D40/(1+$A168)^3+E40/(1+$A168)^4+F40/(1+$A168)^5+F32*G$160/(1+$A168)^5-Data!L36-Data!L42+B58)/B60,"-")</f>
        <v>335.3323470664041</v>
      </c>
      <c r="H168" s="350">
        <f>IFERROR((B40/(1+$A168)^1+C40/(1+$A168)^2+D40/(1+$A168)^3+E40/(1+$A168)^4+F40/(1+$A168)^5+F32*H$160/(1+$A168)^5-Data!L36-Data!L42+B58)/B60,"-")</f>
        <v>365.31376950191424</v>
      </c>
      <c r="I168" s="315"/>
      <c r="J168" s="315"/>
      <c r="K168" s="261"/>
    </row>
    <row r="169" ht="15" customHeight="1" s="74">
      <c r="A169" s="363">
        <f>IFERROR($B$15+0.02,"-")</f>
        <v>0.11127922415</v>
      </c>
      <c r="B169" s="351">
        <f>IFERROR((B40/(1+$A169)^1+C40/(1+$A169)^2+D40/(1+$A169)^3+E40/(1+$A169)^4+F40/(1+$A169)^5+F32*B$160/(1+$A169)^5-Data!L36-Data!L42+B58)/B60,"-")</f>
        <v>181.66304110854182</v>
      </c>
      <c r="C169" s="351">
        <f>IFERROR((B40/(1+$A169)^1+C40/(1+$A169)^2+D40/(1+$A169)^3+E40/(1+$A169)^4+F40/(1+$A169)^5+F32*C$160/(1+$A169)^5-Data!L36-Data!L42+B58)/B60,"-")</f>
        <v>210.97602574372746</v>
      </c>
      <c r="D169" s="351">
        <f>IFERROR((B40/(1+$A169)^1+C40/(1+$A169)^2+D40/(1+$A169)^3+E40/(1+$A169)^4+F40/(1+$A169)^5+F32*D$160/(1+$A169)^5-Data!L36-Data!L42+B58)/B60,"-")</f>
        <v>240.2890103789132</v>
      </c>
      <c r="E169" s="351">
        <f>IFERROR((B40/(1+$A169)^1+C40/(1+$A169)^2+D40/(1+$A169)^3+E40/(1+$A169)^4+F40/(1+$A169)^5+F32*E$160/(1+$A169)^5-Data!L36-Data!L42+B58)/B60,"-")</f>
        <v>269.60199501409886</v>
      </c>
      <c r="F169" s="351">
        <f>IFERROR((B40/(1+$A169)^1+C40/(1+$A169)^2+D40/(1+$A169)^3+E40/(1+$A169)^4+F40/(1+$A169)^5+F32*F$160/(1+$A169)^5-Data!L36-Data!L42+B58)/B60,"-")</f>
        <v>298.91497964928453</v>
      </c>
      <c r="G169" s="351">
        <f>IFERROR((B40/(1+$A169)^1+C40/(1+$A169)^2+D40/(1+$A169)^3+E40/(1+$A169)^4+F40/(1+$A169)^5+F32*G$160/(1+$A169)^5-Data!L36-Data!L42+B58)/B60,"-")</f>
        <v>328.22796428447015</v>
      </c>
      <c r="H169" s="351">
        <f>IFERROR((B40/(1+$A169)^1+C40/(1+$A169)^2+D40/(1+$A169)^3+E40/(1+$A169)^4+F40/(1+$A169)^5+F32*H$160/(1+$A169)^5-Data!L36-Data!L42+B58)/B60,"-")</f>
        <v>357.5409489196559</v>
      </c>
      <c r="I169" s="272"/>
      <c r="J169" s="272"/>
      <c r="K169" s="261"/>
    </row>
    <row r="170" ht="15" customHeight="1" s="74">
      <c r="A170" s="10"/>
      <c r="B170" s="10"/>
      <c r="C170" s="10"/>
      <c r="D170" s="10"/>
      <c r="E170" s="10"/>
      <c r="F170" s="10"/>
      <c r="G170" s="10"/>
      <c r="H170" s="10"/>
      <c r="I170" s="10"/>
      <c r="J170" s="10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ht="19" customHeight="1" s="74">
      <c r="A172" s="226" t="inlineStr">
        <is>
          <t>8. VERDICT</t>
        </is>
      </c>
    </row>
    <row r="173" ht="15" customHeight="1" s="74">
      <c r="A173" s="313" t="inlineStr">
        <is>
          <t>Rating (BUY / ADD / HOLD / REDUCE / SELL)</t>
        </is>
      </c>
      <c r="B173" s="423" t="inlineStr">
        <is>
          <t>BUY</t>
        </is>
      </c>
      <c r="C173" s="261"/>
      <c r="D173" s="261"/>
      <c r="E173" s="261"/>
      <c r="F173" s="261"/>
      <c r="G173" s="272"/>
      <c r="H173" s="272"/>
      <c r="I173" s="272"/>
      <c r="J173" s="272"/>
      <c r="K173" s="261"/>
      <c r="M173" s="308" t="inlineStr">
        <is>
          <t xml:space="preserve">market-researcher | valuation-agent | as-of: </t>
        </is>
      </c>
    </row>
    <row r="174" ht="15" customHeight="1" s="74">
      <c r="A174" s="313" t="inlineStr">
        <is>
          <t>12-Month Target Price</t>
        </is>
      </c>
      <c r="B174" s="424">
        <f>IFERROR(B143*B141+C143*C141+D143*D141,C143)</f>
        <v>215.96919885278425</v>
      </c>
      <c r="C174" s="261"/>
      <c r="D174" s="261"/>
      <c r="E174" s="261"/>
      <c r="F174" s="261"/>
      <c r="G174" s="315"/>
      <c r="H174" s="315"/>
      <c r="I174" s="315"/>
      <c r="J174" s="315"/>
      <c r="K174" s="261"/>
      <c r="M174" s="308"/>
    </row>
    <row r="175" ht="15" customHeight="1" s="74">
      <c r="A175" s="313" t="inlineStr">
        <is>
          <t>Conviction (High / Moderate / Low)</t>
        </is>
      </c>
      <c r="B175" s="423" t="inlineStr">
        <is>
          <t>Moderate</t>
        </is>
      </c>
      <c r="C175" s="261"/>
      <c r="D175" s="261"/>
      <c r="E175" s="261"/>
      <c r="F175" s="261"/>
      <c r="G175" s="272"/>
      <c r="H175" s="272"/>
      <c r="I175" s="272"/>
      <c r="J175" s="272"/>
      <c r="K175" s="261"/>
      <c r="M175" s="308" t="inlineStr">
        <is>
          <t xml:space="preserve">market-researcher | valuation-agent | as-of: </t>
        </is>
      </c>
    </row>
    <row r="176" ht="15" customHeight="1" s="74">
      <c r="A176" s="313" t="inlineStr">
        <is>
          <t>Key Catalyst (with timeframe)</t>
        </is>
      </c>
      <c r="B176" s="424"/>
      <c r="C176" s="261"/>
      <c r="D176" s="261"/>
      <c r="E176" s="261"/>
      <c r="F176" s="261"/>
      <c r="G176" s="315"/>
      <c r="H176" s="315"/>
      <c r="I176" s="315"/>
      <c r="J176" s="315"/>
      <c r="K176" s="261"/>
    </row>
    <row r="177" ht="15" customHeight="1" s="74">
      <c r="A177" s="313" t="inlineStr">
        <is>
          <t>Key Risk (with quantified downside)</t>
        </is>
      </c>
      <c r="B177" s="423"/>
      <c r="C177" s="261"/>
      <c r="D177" s="261"/>
      <c r="E177" s="261"/>
      <c r="F177" s="261"/>
      <c r="G177" s="272"/>
      <c r="H177" s="272"/>
      <c r="I177" s="272"/>
      <c r="J177" s="272"/>
      <c r="K177" s="261"/>
    </row>
    <row r="178" ht="15" customHeight="1" s="74">
      <c r="A178" s="313" t="inlineStr">
        <is>
          <t>Thesis Summary (1-2 sentences)</t>
        </is>
      </c>
      <c r="B178" s="424"/>
      <c r="C178" s="261"/>
      <c r="D178" s="261"/>
      <c r="E178" s="261"/>
      <c r="F178" s="261"/>
      <c r="G178" s="315"/>
      <c r="H178" s="315"/>
      <c r="I178" s="315"/>
      <c r="J178" s="315"/>
      <c r="K178" s="261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ht="15" customHeight="1" s="74">
      <c r="A180" s="324" t="inlineStr">
        <is>
          <t>─ Scenario Multiple Inputs ─</t>
        </is>
      </c>
      <c r="B180" s="324"/>
      <c r="C180" s="272"/>
      <c r="D180" s="272"/>
      <c r="E180" s="272"/>
      <c r="F180" s="272"/>
      <c r="G180" s="272"/>
      <c r="H180" s="272"/>
      <c r="I180" s="272"/>
      <c r="J180" s="272"/>
      <c r="K180" s="261"/>
    </row>
    <row r="181" ht="15" customHeight="1" s="74">
      <c r="A181" s="324" t="inlineStr">
        <is>
          <t>P/E Multiple (Bear)</t>
        </is>
      </c>
      <c r="B181" s="324">
        <f>IFERROR(C118*0.85,"-")</f>
        <v>18.7</v>
      </c>
      <c r="C181" s="272"/>
      <c r="D181" s="272"/>
      <c r="E181" s="272"/>
      <c r="F181" s="272"/>
      <c r="G181" s="272"/>
      <c r="H181" s="272"/>
      <c r="I181" s="272"/>
      <c r="J181" s="272"/>
      <c r="K181" s="261"/>
    </row>
    <row r="182" ht="15" customHeight="1" s="74">
      <c r="A182" s="324" t="inlineStr">
        <is>
          <t>P/E Multiple (Bull)</t>
        </is>
      </c>
      <c r="B182" s="324">
        <f>IFERROR(C118*1.15,"-")</f>
        <v>25.299999999999997</v>
      </c>
      <c r="C182" s="272"/>
      <c r="D182" s="272"/>
      <c r="E182" s="272"/>
      <c r="F182" s="272"/>
      <c r="G182" s="272"/>
      <c r="H182" s="272"/>
      <c r="I182" s="272"/>
      <c r="J182" s="272"/>
      <c r="K182" s="261"/>
    </row>
    <row r="183" ht="15" customHeight="1" s="74">
      <c r="A183" s="324" t="inlineStr">
        <is>
          <t>EV/EBITDA Multiple (Bear)</t>
        </is>
      </c>
      <c r="B183" s="324">
        <f>IFERROR(C119*0.85,"-")</f>
        <v>11.049999999999999</v>
      </c>
      <c r="C183" s="272"/>
      <c r="D183" s="272"/>
      <c r="E183" s="272"/>
      <c r="F183" s="272"/>
      <c r="G183" s="272"/>
      <c r="H183" s="272"/>
      <c r="I183" s="272"/>
      <c r="J183" s="272"/>
      <c r="K183" s="261"/>
    </row>
    <row r="184" ht="15" customHeight="1" s="74">
      <c r="A184" s="324" t="inlineStr">
        <is>
          <t>EV/EBITDA Multiple (Bull)</t>
        </is>
      </c>
      <c r="B184" s="324">
        <f>IFERROR(C119*1.15,"-")</f>
        <v>14.95</v>
      </c>
      <c r="C184" s="272"/>
      <c r="D184" s="272"/>
      <c r="E184" s="272"/>
      <c r="F184" s="272"/>
      <c r="G184" s="272"/>
      <c r="H184" s="272"/>
      <c r="I184" s="272"/>
      <c r="J184" s="272"/>
      <c r="K184" s="261"/>
    </row>
    <row r="185" ht="15" customHeight="1" s="74">
      <c r="A185" s="324" t="inlineStr">
        <is>
          <t>FCF Yield (Bear)</t>
        </is>
      </c>
      <c r="B185" s="324">
        <f>IFERROR(C122*1.15,"-")</f>
        <v>0.08625</v>
      </c>
      <c r="C185" s="272"/>
      <c r="D185" s="272"/>
      <c r="E185" s="272"/>
      <c r="F185" s="272"/>
      <c r="G185" s="272"/>
      <c r="H185" s="272"/>
      <c r="I185" s="272"/>
      <c r="J185" s="272"/>
      <c r="K185" s="261"/>
    </row>
    <row r="186" ht="15" customHeight="1" s="74">
      <c r="A186" s="324" t="inlineStr">
        <is>
          <t>FCF Yield (Bull)</t>
        </is>
      </c>
      <c r="B186" s="324">
        <f>IFERROR(C122*0.85,"-")</f>
        <v>0.06375</v>
      </c>
      <c r="C186" s="272"/>
      <c r="D186" s="272"/>
      <c r="E186" s="272"/>
      <c r="F186" s="272"/>
      <c r="G186" s="272"/>
      <c r="H186" s="272"/>
      <c r="I186" s="272"/>
      <c r="J186" s="272"/>
      <c r="K186" s="261"/>
    </row>
  </sheetData>
  <mergeCells count="16">
    <mergeCell ref="A172:F172"/>
    <mergeCell ref="A17:G17"/>
    <mergeCell ref="A3:F3"/>
    <mergeCell ref="B176:F176"/>
    <mergeCell ref="A64:G64"/>
    <mergeCell ref="A133:E133"/>
    <mergeCell ref="B175:F175"/>
    <mergeCell ref="B178:F178"/>
    <mergeCell ref="B174:F174"/>
    <mergeCell ref="A116:E116"/>
    <mergeCell ref="A90:G90"/>
    <mergeCell ref="A159:H159"/>
    <mergeCell ref="A147:H147"/>
    <mergeCell ref="B177:F177"/>
    <mergeCell ref="A124:F124"/>
    <mergeCell ref="B173:F173"/>
  </mergeCells>
  <pageMargins left="0.75" right="0.75" top="1" bottom="1" header="0.511811023622047" footer="0.511811023622047"/>
  <pageSetup orientation="portrait" paperSize="9" horizontalDpi="300" verticalDpi="300"/>
</worksheet>
</file>

<file path=xl/worksheets/sheet5.xml><?xml version="1.0" encoding="utf-8"?>
<worksheet xmlns="http://schemas.openxmlformats.org/spreadsheetml/2006/main">
  <sheetPr>
    <tabColor rgb="FF4A4A4A"/>
    <outlinePr summaryBelow="1" summaryRight="1"/>
    <pageSetUpPr/>
  </sheetPr>
  <dimension ref="A1:Y201"/>
  <sheetViews>
    <sheetView showGridLines="1" tabSelected="1" zoomScale="100" zoomScaleNormal="100" workbookViewId="0">
      <pane xSplit="1" topLeftCell="B1" activePane="topRight" state="frozen"/>
    </sheetView>
  </sheetViews>
  <sheetFormatPr baseColWidth="10" defaultColWidth="8.6640625" defaultRowHeight="15"/>
  <cols>
    <col width="34" customWidth="1" style="74" min="1" max="1"/>
    <col width="12" customWidth="1" style="74" min="2" max="2"/>
    <col width="12" customWidth="1" style="74" min="3" max="3"/>
    <col width="12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12" customWidth="1" style="74" min="13" max="13"/>
    <col width="13" customWidth="1" style="74" min="14" max="14"/>
    <col width="13" customWidth="1" style="74" min="15" max="15"/>
    <col width="13" customWidth="1" style="74" min="16" max="16"/>
    <col width="13" customWidth="1" style="74" min="17" max="17"/>
    <col width="13" customWidth="1" style="74" min="18" max="18"/>
    <col width="13" customWidth="1" style="74" min="19" max="19"/>
    <col width="13" customWidth="1" style="74" min="20" max="20"/>
    <col width="13" customWidth="1" style="74" min="21" max="21"/>
    <col width="13" customWidth="1" style="74" min="22" max="22"/>
    <col width="13" customWidth="1" style="74" min="23" max="23"/>
    <col width="13" customWidth="1" style="74" min="24" max="24"/>
    <col width="13" customWidth="1" style="74" min="25" max="25"/>
  </cols>
  <sheetData>
    <row r="1" ht="54.75" customHeight="1" s="74">
      <c r="A1" s="1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2"/>
      <c r="O1" s="2"/>
      <c r="P1" s="2"/>
      <c r="Q1" s="2"/>
      <c r="R1" s="2"/>
      <c r="S1" s="2"/>
      <c r="T1" s="2"/>
      <c r="U1" s="2"/>
    </row>
    <row r="2" ht="17" customHeight="1" s="74">
      <c r="A2" s="291" t="inlineStr">
        <is>
          <t>Colour key:</t>
        </is>
      </c>
    </row>
    <row r="3" ht="15" customHeight="1" s="74">
      <c r="A3" s="14" t="inlineStr">
        <is>
          <t>Period</t>
        </is>
      </c>
      <c r="B3" s="14">
        <f>Data!B13</f>
        <v>2016.0</v>
      </c>
      <c r="C3" s="14">
        <f>Data!C13</f>
        <v>2017.0</v>
      </c>
      <c r="D3" s="14">
        <f>Data!D13</f>
        <v>2018.0</v>
      </c>
      <c r="E3" s="14">
        <f>Data!E13</f>
        <v>2019.0</v>
      </c>
      <c r="F3" s="14">
        <f>Data!F13</f>
        <v>2020.0</v>
      </c>
      <c r="G3" s="14">
        <f>Data!G13</f>
        <v>2021.0</v>
      </c>
      <c r="H3" s="14">
        <f>Data!H13</f>
        <v>2022.0</v>
      </c>
      <c r="I3" s="14">
        <f>Data!I13</f>
        <v>2023.0</v>
      </c>
      <c r="J3" s="14">
        <f>Data!J13</f>
        <v>2024.0</v>
      </c>
      <c r="K3" s="14">
        <f>Data!K13</f>
        <v>2025.0</v>
      </c>
      <c r="L3" s="14">
        <f>Data!L13</f>
        <v>2026.0</v>
      </c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</row>
    <row r="4" ht="15" customHeight="1" s="74">
      <c r="A4" s="15" t="inlineStr">
        <is>
          <t>Gross Margin</t>
        </is>
      </c>
      <c r="B4" s="89">
        <f>IFERROR(IF(OR(NOT(ISNUMBER(Data!B16)),NOT(ISNUMBER(Data!B14))),"-",Data!B16/Data!B14),"-")</f>
        <v>0.7518382485283213</v>
      </c>
      <c r="C4" s="89">
        <f>IFERROR(IF(OR(NOT(ISNUMBER(Data!C16)),NOT(ISNUMBER(Data!C14))),"-",Data!C16/Data!C14),"-")</f>
        <v>0.7337889347739461</v>
      </c>
      <c r="D4" s="89">
        <f>IFERROR(IF(OR(NOT(ISNUMBER(Data!D16)),NOT(ISNUMBER(Data!D14))),"-",Data!D16/Data!D14),"-")</f>
        <v>0.7353512572313848</v>
      </c>
      <c r="E4" s="89">
        <f>IFERROR(IF(OR(NOT(ISNUMBER(Data!E16)),NOT(ISNUMBER(Data!E14))),"-",Data!E16/Data!E14),"-")</f>
        <v>0.740174672489083</v>
      </c>
      <c r="F4" s="89">
        <f>IFERROR(IF(OR(NOT(ISNUMBER(Data!F16)),NOT(ISNUMBER(Data!F14))),"-",Data!F16/Data!F14),"-")</f>
        <v>0.752310211720669</v>
      </c>
      <c r="G4" s="89">
        <f>IFERROR(IF(OR(NOT(ISNUMBER(Data!G16)),NOT(ISNUMBER(Data!G14))),"-",Data!G16/Data!G14),"-")</f>
        <v>0.7441182006399397</v>
      </c>
      <c r="H4" s="89">
        <f>IFERROR(IF(OR(NOT(ISNUMBER(Data!H16)),NOT(ISNUMBER(Data!H14))),"-",Data!H16/Data!H14),"-")</f>
        <v>0.7347878604861845</v>
      </c>
      <c r="I4" s="89">
        <f>IFERROR(IF(OR(NOT(ISNUMBER(Data!I16)),NOT(ISNUMBER(Data!I14))),"-",Data!I16/Data!I14),"-")</f>
        <v>0.7333503444756315</v>
      </c>
      <c r="J4" s="89">
        <f>IFERROR(IF(OR(NOT(ISNUMBER(Data!J16)),NOT(ISNUMBER(Data!J14))),"-",Data!J16/Data!J14),"-")</f>
        <v>0.7549703072553576</v>
      </c>
      <c r="K4" s="89">
        <f>IFERROR(IF(OR(NOT(ISNUMBER(Data!K16)),NOT(ISNUMBER(Data!K14))),"-",Data!K16/Data!K14),"-")</f>
        <v>0.7719224172054361</v>
      </c>
      <c r="L4" s="89">
        <f>IFERROR(IF(OR(NOT(ISNUMBER(Data!L16)),NOT(ISNUMBER(Data!L14))),"-",Data!L16/Data!L14),"-")</f>
        <v>0.7767609873570138</v>
      </c>
      <c r="M4" s="261"/>
      <c r="N4" s="266"/>
      <c r="O4" s="266"/>
      <c r="P4" s="266"/>
      <c r="Q4" s="266"/>
      <c r="R4" s="266"/>
      <c r="S4" s="266"/>
      <c r="T4" s="266"/>
      <c r="U4" s="266"/>
      <c r="V4" s="261"/>
      <c r="W4" s="261"/>
      <c r="X4" s="261"/>
      <c r="Y4" s="261"/>
    </row>
    <row r="5" ht="15" customHeight="1" s="74">
      <c r="A5" s="17" t="inlineStr">
        <is>
          <t>EBITDA Margin</t>
        </is>
      </c>
      <c r="B5" s="90">
        <f>IFERROR(IF(OR(NOT(ISNUMBER(Data!B20)),NOT(ISNUMBER(Data!B14))),"-",Data!B20/Data!B14),"-")</f>
        <v>0.09609303193416861</v>
      </c>
      <c r="C5" s="90">
        <f>IFERROR(IF(OR(NOT(ISNUMBER(Data!C20)),NOT(ISNUMBER(Data!C14))),"-",Data!C20/Data!C14),"-")</f>
        <v>0.08299265108227089</v>
      </c>
      <c r="D5" s="90">
        <f>IFERROR(IF(OR(NOT(ISNUMBER(Data!D20)),NOT(ISNUMBER(Data!D14))),"-",Data!D20/Data!D14),"-")</f>
        <v>0.09430981567578357</v>
      </c>
      <c r="E5" s="90">
        <f>IFERROR(IF(OR(NOT(ISNUMBER(Data!E20)),NOT(ISNUMBER(Data!E14))),"-",Data!E20/Data!E14),"-")</f>
        <v>0.11270892937810571</v>
      </c>
      <c r="F5" s="90">
        <f>IFERROR(IF(OR(NOT(ISNUMBER(Data!F20)),NOT(ISNUMBER(Data!F14))),"-",Data!F20/Data!F14),"-")</f>
        <v>0.1422388583460054</v>
      </c>
      <c r="G5" s="90">
        <f>IFERROR(IF(OR(NOT(ISNUMBER(Data!G20)),NOT(ISNUMBER(Data!G14))),"-",Data!G20/Data!G14),"-")</f>
        <v>0.15532655750047053</v>
      </c>
      <c r="H5" s="90">
        <f>IFERROR(IF(OR(NOT(ISNUMBER(Data!H20)),NOT(ISNUMBER(Data!H14))),"-",Data!H20/Data!H14),"-")</f>
        <v>0.1451759021591424</v>
      </c>
      <c r="I5" s="90">
        <f>IFERROR(IF(OR(NOT(ISNUMBER(Data!I20)),NOT(ISNUMBER(Data!I14))),"-",Data!I20/Data!I14),"-")</f>
        <v>0.15361061495279407</v>
      </c>
      <c r="J5" s="90">
        <f>IFERROR(IF(OR(NOT(ISNUMBER(Data!J20)),NOT(ISNUMBER(Data!J14))),"-",Data!J20/Data!J14),"-")</f>
        <v>0.2573371202340993</v>
      </c>
      <c r="K5" s="90">
        <f>IFERROR(IF(OR(NOT(ISNUMBER(Data!K20)),NOT(ISNUMBER(Data!K14))),"-",Data!K20/Data!K14),"-")</f>
        <v>0.2818841535822668</v>
      </c>
      <c r="L5" s="90">
        <f>IFERROR(IF(OR(NOT(ISNUMBER(Data!L20)),NOT(ISNUMBER(Data!L14))),"-",Data!L20/Data!L14),"-")</f>
        <v>0.28806742925948225</v>
      </c>
      <c r="M5" s="261"/>
      <c r="N5" s="266"/>
      <c r="O5" s="266"/>
      <c r="P5" s="266"/>
      <c r="Q5" s="266"/>
      <c r="R5" s="266"/>
      <c r="S5" s="266"/>
      <c r="T5" s="266"/>
      <c r="U5" s="266"/>
      <c r="V5" s="261"/>
      <c r="W5" s="261"/>
      <c r="X5" s="261"/>
      <c r="Y5" s="261"/>
    </row>
    <row r="6" ht="15" customHeight="1" s="74">
      <c r="A6" s="15" t="inlineStr">
        <is>
          <t>Operating Margin</t>
        </is>
      </c>
      <c r="B6" s="89">
        <f>IFERROR(IF(OR(NOT(ISNUMBER(Data!B22)),NOT(ISNUMBER(Data!B14))),"-",Data!B22/Data!B14),"-")</f>
        <v>0.017237029668755295</v>
      </c>
      <c r="C6" s="89">
        <f>IFERROR(IF(OR(NOT(ISNUMBER(Data!C22)),NOT(ISNUMBER(Data!C14))),"-",Data!C22/Data!C14),"-")</f>
        <v>0.007653494096270917</v>
      </c>
      <c r="D6" s="89">
        <f>IFERROR(IF(OR(NOT(ISNUMBER(Data!D22)),NOT(ISNUMBER(Data!D14))),"-",Data!D22/Data!D14),"-")</f>
        <v>0.02249692080505251</v>
      </c>
      <c r="E6" s="89">
        <f>IFERROR(IF(OR(NOT(ISNUMBER(Data!E22)),NOT(ISNUMBER(Data!E14))),"-",Data!E22/Data!E14),"-")</f>
        <v>0.040280078301460624</v>
      </c>
      <c r="F6" s="89">
        <f>IFERROR(IF(OR(NOT(ISNUMBER(Data!F22)),NOT(ISNUMBER(Data!F14))),"-",Data!F22/Data!F14),"-")</f>
        <v>0.017370452684524505</v>
      </c>
      <c r="G6" s="89">
        <f>IFERROR(IF(OR(NOT(ISNUMBER(Data!G22)),NOT(ISNUMBER(Data!G14))),"-",Data!G22/Data!G14),"-")</f>
        <v>0.021409749670619236</v>
      </c>
      <c r="H6" s="89">
        <f>IFERROR(IF(OR(NOT(ISNUMBER(Data!H22)),NOT(ISNUMBER(Data!H14))),"-",Data!H22/Data!H14),"-")</f>
        <v>0.020685489959232976</v>
      </c>
      <c r="I6" s="89">
        <f>IFERROR(IF(OR(NOT(ISNUMBER(Data!I22)),NOT(ISNUMBER(Data!I14))),"-",Data!I22/Data!I14),"-")</f>
        <v>0.03285276856340903</v>
      </c>
      <c r="J6" s="89">
        <f>IFERROR(IF(OR(NOT(ISNUMBER(Data!J22)),NOT(ISNUMBER(Data!J14))),"-",Data!J22/Data!J14),"-")</f>
        <v>0.14375878589666352</v>
      </c>
      <c r="K6" s="89">
        <f>IFERROR(IF(OR(NOT(ISNUMBER(Data!K22)),NOT(ISNUMBER(Data!K14))),"-",Data!K22/Data!K14),"-")</f>
        <v>0.19013062409288825</v>
      </c>
      <c r="L6" s="89">
        <f>IFERROR(IF(OR(NOT(ISNUMBER(Data!L22)),NOT(ISNUMBER(Data!L14))),"-",Data!L22/Data!L14),"-")</f>
        <v>0.20062612883804937</v>
      </c>
      <c r="M6" s="261"/>
      <c r="N6" s="266"/>
      <c r="O6" s="266"/>
      <c r="P6" s="266"/>
      <c r="Q6" s="266"/>
      <c r="R6" s="266"/>
      <c r="S6" s="266"/>
      <c r="T6" s="266"/>
      <c r="U6" s="266"/>
      <c r="V6" s="261"/>
      <c r="W6" s="261"/>
      <c r="X6" s="261"/>
      <c r="Y6" s="261"/>
    </row>
    <row r="7" ht="15" customHeight="1" s="74">
      <c r="A7" s="17" t="inlineStr">
        <is>
          <t>Net Margin</t>
        </is>
      </c>
      <c r="B7" s="90">
        <f>IFERROR(IF(OR(NOT(ISNUMBER(Data!B26)),NOT(ISNUMBER(Data!B14))),"-",Data!B26/Data!B14),"-")</f>
        <v>-0.007113313862937694</v>
      </c>
      <c r="C7" s="90">
        <f>IFERROR(IF(OR(NOT(ISNUMBER(Data!C26)),NOT(ISNUMBER(Data!C14))),"-",Data!C26/Data!C14),"-")</f>
        <v>0.021405188570426253</v>
      </c>
      <c r="D7" s="90">
        <f>IFERROR(IF(OR(NOT(ISNUMBER(Data!D26)),NOT(ISNUMBER(Data!D14))),"-",Data!D26/Data!D14),"-")</f>
        <v>0.012163917369560262</v>
      </c>
      <c r="E7" s="90">
        <f>IFERROR(IF(OR(NOT(ISNUMBER(Data!E26)),NOT(ISNUMBER(Data!E14))),"-",Data!E26/Data!E14),"-")</f>
        <v>0.08357175124228279</v>
      </c>
      <c r="F7" s="90">
        <f>IFERROR(IF(OR(NOT(ISNUMBER(Data!F26)),NOT(ISNUMBER(Data!F14))),"-",Data!F26/Data!F14),"-")</f>
        <v>0.007369282957071003</v>
      </c>
      <c r="G7" s="90">
        <f>IFERROR(IF(OR(NOT(ISNUMBER(Data!G26)),NOT(ISNUMBER(Data!G14))),"-",Data!G26/Data!G14),"-")</f>
        <v>0.19160549595332205</v>
      </c>
      <c r="H7" s="90">
        <f>IFERROR(IF(OR(NOT(ISNUMBER(Data!H26)),NOT(ISNUMBER(Data!H14))),"-",Data!H26/Data!H14),"-")</f>
        <v>0.054507020987467916</v>
      </c>
      <c r="I7" s="90">
        <f>IFERROR(IF(OR(NOT(ISNUMBER(Data!I26)),NOT(ISNUMBER(Data!I14))),"-",Data!I26/Data!I14),"-")</f>
        <v>0.006634345496300076</v>
      </c>
      <c r="J7" s="90">
        <f>IFERROR(IF(OR(NOT(ISNUMBER(Data!J26)),NOT(ISNUMBER(Data!J14))),"-",Data!J26/Data!J14),"-")</f>
        <v>0.11865622400091803</v>
      </c>
      <c r="K7" s="90">
        <f>IFERROR(IF(OR(NOT(ISNUMBER(Data!K26)),NOT(ISNUMBER(Data!K14))),"-",Data!K26/Data!K14),"-")</f>
        <v>0.16353080881382767</v>
      </c>
      <c r="L7" s="90">
        <f>IFERROR(IF(OR(NOT(ISNUMBER(Data!L26)),NOT(ISNUMBER(Data!L14))),"-",Data!L26/Data!L14),"-")</f>
        <v>0.179578567128236</v>
      </c>
      <c r="M7" s="261"/>
      <c r="N7" s="266"/>
      <c r="O7" s="266"/>
      <c r="P7" s="266"/>
      <c r="Q7" s="266"/>
      <c r="R7" s="266"/>
      <c r="S7" s="266"/>
      <c r="T7" s="266"/>
      <c r="U7" s="266"/>
      <c r="V7" s="261"/>
      <c r="W7" s="261"/>
      <c r="X7" s="261"/>
      <c r="Y7" s="261"/>
    </row>
    <row r="8" ht="15" customHeight="1" s="74">
      <c r="A8" s="15" t="inlineStr">
        <is>
          <t>FCF Margin</t>
        </is>
      </c>
      <c r="B8" s="89">
        <f>IFERROR(IF(OR(NOT(ISNUMBER(Data!B53)),NOT(ISNUMBER(Data!B14))),"-",Data!B53/Data!B14),"-")</f>
        <v>0.2081236006153093</v>
      </c>
      <c r="C8" s="89">
        <f>IFERROR(IF(OR(NOT(ISNUMBER(Data!C53)),NOT(ISNUMBER(Data!C14))),"-",Data!C53/Data!C14),"-")</f>
        <v>0.20236454216309274</v>
      </c>
      <c r="D8" s="89">
        <f>IFERROR(IF(OR(NOT(ISNUMBER(Data!D53)),NOT(ISNUMBER(Data!D14))),"-",Data!D53/Data!D14),"-")</f>
        <v>0.2102991866803206</v>
      </c>
      <c r="E8" s="89">
        <f>IFERROR(IF(OR(NOT(ISNUMBER(Data!E53)),NOT(ISNUMBER(Data!E14))),"-",Data!E53/Data!E14),"-")</f>
        <v>0.21103749435326005</v>
      </c>
      <c r="F8" s="89">
        <f>IFERROR(IF(OR(NOT(ISNUMBER(Data!F53)),NOT(ISNUMBER(Data!F14))),"-",Data!F53/Data!F14),"-")</f>
        <v>0.21569774242601475</v>
      </c>
      <c r="G8" s="89">
        <f>IFERROR(IF(OR(NOT(ISNUMBER(Data!G53)),NOT(ISNUMBER(Data!G14))),"-",Data!G53/Data!G14),"-")</f>
        <v>0.1924995294560512</v>
      </c>
      <c r="H8" s="89">
        <f>IFERROR(IF(OR(NOT(ISNUMBER(Data!H53)),NOT(ISNUMBER(Data!H14))),"-",Data!H53/Data!H14),"-")</f>
        <v>0.1994186924354522</v>
      </c>
      <c r="I8" s="89">
        <f>IFERROR(IF(OR(NOT(ISNUMBER(Data!I53)),NOT(ISNUMBER(Data!I14))),"-",Data!I53/Data!I14),"-")</f>
        <v>0.20135876499106914</v>
      </c>
      <c r="J8" s="89">
        <f>IFERROR(IF(OR(NOT(ISNUMBER(Data!J53)),NOT(ISNUMBER(Data!J14))),"-",Data!J53/Data!J14),"-")</f>
        <v>0.2724847232980463</v>
      </c>
      <c r="K8" s="89">
        <f>IFERROR(IF(OR(NOT(ISNUMBER(Data!K53)),NOT(ISNUMBER(Data!K14))),"-",Data!K53/Data!K14),"-")</f>
        <v>0.3281171658530149</v>
      </c>
      <c r="L8" s="89">
        <f>IFERROR(IF(OR(NOT(ISNUMBER(Data!L53)),NOT(ISNUMBER(Data!L14))),"-",Data!L53/Data!L14),"-")</f>
        <v>0.34682721252257676</v>
      </c>
      <c r="M8" s="261"/>
      <c r="N8" s="266"/>
      <c r="O8" s="266"/>
      <c r="P8" s="266"/>
      <c r="Q8" s="266"/>
      <c r="R8" s="266"/>
      <c r="S8" s="266"/>
      <c r="T8" s="266"/>
      <c r="U8" s="266"/>
      <c r="V8" s="261"/>
      <c r="W8" s="261"/>
      <c r="X8" s="261"/>
      <c r="Y8" s="261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N9" s="2"/>
      <c r="O9" s="2"/>
      <c r="P9" s="2"/>
      <c r="Q9" s="2"/>
      <c r="R9" s="2"/>
      <c r="S9" s="2"/>
      <c r="T9" s="2"/>
      <c r="U9" s="2"/>
    </row>
    <row r="10" ht="19" customHeight="1" s="74">
      <c r="A10" s="226" t="inlineStr">
        <is>
          <t>RETURNS</t>
        </is>
      </c>
    </row>
    <row r="11" ht="28" customHeight="1" s="74">
      <c r="A11" s="14" t="inlineStr">
        <is>
          <t>Period</t>
        </is>
      </c>
      <c r="B11" s="14">
        <f>Data!B13</f>
        <v>2016.0</v>
      </c>
      <c r="C11" s="14">
        <f>Data!C13</f>
        <v>2017.0</v>
      </c>
      <c r="D11" s="14">
        <f>Data!D13</f>
        <v>2018.0</v>
      </c>
      <c r="E11" s="14">
        <f>Data!E13</f>
        <v>2019.0</v>
      </c>
      <c r="F11" s="14">
        <f>Data!F13</f>
        <v>2020.0</v>
      </c>
      <c r="G11" s="14">
        <f>Data!G13</f>
        <v>2021.0</v>
      </c>
      <c r="H11" s="14">
        <f>Data!H13</f>
        <v>2022.0</v>
      </c>
      <c r="I11" s="14">
        <f>Data!I13</f>
        <v>2023.0</v>
      </c>
      <c r="J11" s="14">
        <f>Data!J13</f>
        <v>2024.0</v>
      </c>
      <c r="K11" s="14">
        <f>Data!K13</f>
        <v>2025.0</v>
      </c>
      <c r="L11" s="14">
        <f>Data!L13</f>
        <v>2026.0</v>
      </c>
      <c r="N11" s="267" t="inlineStr">
        <is>
          <t xml:space="preserve">Year -2
Q1</t>
        </is>
      </c>
      <c r="O11" s="267" t="inlineStr">
        <is>
          <t xml:space="preserve">Year -2
Q2</t>
        </is>
      </c>
      <c r="P11" s="267" t="inlineStr">
        <is>
          <t xml:space="preserve">Year -2
Q3</t>
        </is>
      </c>
      <c r="Q11" s="267" t="inlineStr">
        <is>
          <t xml:space="preserve">Year -2
Q4</t>
        </is>
      </c>
      <c r="R11" s="267" t="inlineStr">
        <is>
          <t xml:space="preserve">Year -1
Q1</t>
        </is>
      </c>
      <c r="S11" s="267" t="inlineStr">
        <is>
          <t xml:space="preserve">Year -1
Q2</t>
        </is>
      </c>
      <c r="T11" s="267" t="inlineStr">
        <is>
          <t xml:space="preserve">Year -1
Q3</t>
        </is>
      </c>
      <c r="U11" s="267" t="inlineStr">
        <is>
          <t xml:space="preserve">Year -1
Q4</t>
        </is>
      </c>
      <c r="V11" s="267" t="inlineStr">
        <is>
          <t xml:space="preserve">Current Year
Q1</t>
        </is>
      </c>
      <c r="W11" s="267" t="inlineStr">
        <is>
          <t xml:space="preserve">Current Year
Q2</t>
        </is>
      </c>
      <c r="X11" s="267" t="inlineStr">
        <is>
          <t xml:space="preserve">Current Year
Q3</t>
        </is>
      </c>
      <c r="Y11" s="267" t="inlineStr">
        <is>
          <t xml:space="preserve">Current Year
Q4</t>
        </is>
      </c>
    </row>
    <row r="12" ht="15" customHeight="1" s="74">
      <c r="A12" s="15" t="inlineStr">
        <is>
          <t>ROE</t>
        </is>
      </c>
      <c r="B12" s="89">
        <f>IFERROR(IF(OR(NOT(ISNUMBER(Data!B26)),NOT(ISNUMBER(Data!B41))),"-",Data!B26/(Data!B41)),"-")</f>
        <v>-0.009479760513417403</v>
      </c>
      <c r="C12" s="89">
        <f>IFERROR(IF(OR(NOT(ISNUMBER(Data!C26)),NOT(ISNUMBER(Data!C41))),"-",Data!C26/(IF(OR(NOT(ISNUMBER(Data!B41)),Data!B41=0),Data!C41,(Data!C41+Data!B41)/2))),"-")</f>
        <v>0.028734232979039587</v>
      </c>
      <c r="D12" s="89">
        <f>IFERROR(IF(OR(NOT(ISNUMBER(Data!D26)),NOT(ISNUMBER(Data!D41))),"-",Data!D26/(IF(OR(NOT(ISNUMBER(Data!C41)),Data!C41=0),Data!D41,(Data!D41+Data!C41)/2))),"-")</f>
        <v>0.015096316615037235</v>
      </c>
      <c r="E12" s="89">
        <f>IFERROR(IF(OR(NOT(ISNUMBER(Data!E26)),NOT(ISNUMBER(Data!E41))),"-",Data!E26/(IF(OR(NOT(ISNUMBER(Data!D41)),Data!D41=0),Data!E41,(Data!E41+Data!D41)/2))),"-")</f>
        <v>0.08882310821983448</v>
      </c>
      <c r="F12" s="89">
        <f>IFERROR(IF(OR(NOT(ISNUMBER(Data!F26)),NOT(ISNUMBER(Data!F41))),"-",Data!F26/(IF(OR(NOT(ISNUMBER(Data!E41)),Data!E41=0),Data!F41,(Data!F41+Data!E41)/2))),"-")</f>
        <v>0.005091937765205092</v>
      </c>
      <c r="G12" s="89">
        <f>IFERROR(IF(OR(NOT(ISNUMBER(Data!G26)),NOT(ISNUMBER(Data!G41))),"-",Data!G26/(IF(OR(NOT(ISNUMBER(Data!F41)),Data!F41=0),Data!G41,(Data!G41+Data!F41)/2))),"-")</f>
        <v>0.10804213430974555</v>
      </c>
      <c r="H12" s="89">
        <f>IFERROR(IF(OR(NOT(ISNUMBER(Data!H26)),NOT(ISNUMBER(Data!H41))),"-",Data!H26/(IF(OR(NOT(ISNUMBER(Data!G41)),Data!G41=0),Data!H41,(Data!H41+Data!G41)/2))),"-")</f>
        <v>0.028988998634867102</v>
      </c>
      <c r="I12" s="89">
        <f>IFERROR(IF(OR(NOT(ISNUMBER(Data!I26)),NOT(ISNUMBER(Data!I41))),"-",Data!I26/(IF(OR(NOT(ISNUMBER(Data!H41)),Data!H41=0),Data!I41,(Data!I41+Data!H41)/2))),"-")</f>
        <v>0.0035711219847197185</v>
      </c>
      <c r="J12" s="89">
        <f>IFERROR(IF(OR(NOT(ISNUMBER(Data!J26)),NOT(ISNUMBER(Data!J41))),"-",Data!J26/(IF(OR(NOT(ISNUMBER(Data!I41)),Data!I41=0),Data!J41,(Data!J41+Data!I41)/2))),"-")</f>
        <v>0.07009872463031228</v>
      </c>
      <c r="K12" s="89">
        <f>IFERROR(IF(OR(NOT(ISNUMBER(Data!K26)),NOT(ISNUMBER(Data!K41))),"-",Data!K26/(IF(OR(NOT(ISNUMBER(Data!J41)),Data!J41=0),Data!K41,(Data!K41+Data!J41)/2))),"-")</f>
        <v>0.10258320297304233</v>
      </c>
      <c r="L12" s="89">
        <f>IFERROR(IF(OR(NOT(ISNUMBER(Data!L26)),NOT(ISNUMBER(Data!L41))),"-",Data!L26/(IF(OR(NOT(ISNUMBER(Data!K41)),Data!K41=0),Data!L41,(Data!L41+Data!K41)/2))),"-")</f>
        <v>0.12395794373103936</v>
      </c>
      <c r="M12" s="261"/>
      <c r="N12" s="250"/>
      <c r="O12" s="250"/>
      <c r="P12" s="250"/>
      <c r="Q12" s="250">
        <f>IFERROR(IF(OR(NOT(ISNUMBER(Data!N26)),NOT(ISNUMBER(Data!O26)),NOT(ISNUMBER(Data!P26)),NOT(ISNUMBER(Data!Q26)),NOT(ISNUMBER(Data!Q41))),"-",(Data!N26+Data!O26+Data!P26+Data!Q26)/Data!Q41),"-")</f>
        <v>0.10130286237392314</v>
      </c>
      <c r="R12" s="250">
        <f>IFERROR(IF(OR(NOT(ISNUMBER(Data!O26)),NOT(ISNUMBER(Data!P26)),NOT(ISNUMBER(Data!Q26)),NOT(ISNUMBER(Data!R26)),NOT(ISNUMBER(Data!R41)),NOT(ISNUMBER(Data!N41))),"-",(Data!O26+Data!P26+Data!Q26+Data!R26)/((Data!R41+Data!N41)/2)),"-")</f>
        <v>0.10311676873094085</v>
      </c>
      <c r="S12" s="250">
        <f>IFERROR(IF(OR(NOT(ISNUMBER(Data!P26)),NOT(ISNUMBER(Data!Q26)),NOT(ISNUMBER(Data!R26)),NOT(ISNUMBER(Data!S26)),NOT(ISNUMBER(Data!S41)),NOT(ISNUMBER(Data!O41))),"-",(Data!P26+Data!Q26+Data!R26+Data!S26)/((Data!S41+Data!O41)/2)),"-")</f>
        <v>0.11201990568337522</v>
      </c>
      <c r="T12" s="250">
        <f>IFERROR(IF(OR(NOT(ISNUMBER(Data!Q26)),NOT(ISNUMBER(Data!R26)),NOT(ISNUMBER(Data!S26)),NOT(ISNUMBER(Data!T26)),NOT(ISNUMBER(Data!T41)),NOT(ISNUMBER(Data!P41))),"-",(Data!Q26+Data!R26+Data!S26+Data!T26)/((Data!T41+Data!P41)/2)),"-")</f>
        <v>0.12184299765491877</v>
      </c>
      <c r="U12" s="250">
        <f>IFERROR(IF(OR(NOT(ISNUMBER(Data!R26)),NOT(ISNUMBER(Data!S26)),NOT(ISNUMBER(Data!T26)),NOT(ISNUMBER(Data!U26)),NOT(ISNUMBER(Data!U41)),NOT(ISNUMBER(Data!Q41))),"-",(Data!R26+Data!S26+Data!T26+Data!U26)/((Data!U41+Data!Q41)/2)),"-")</f>
        <v>0.12395794373103936</v>
      </c>
      <c r="V12" s="258">
        <f>IFERROR(IF(OR(NOT(ISNUMBER(Data!S26)),NOT(ISNUMBER(Data!T26)),NOT(ISNUMBER(Data!U26)),NOT(ISNUMBER(Data!V26)),NOT(ISNUMBER(Data!V41)),NOT(ISNUMBER(Data!R41))),"-",(Data!S26+Data!T26+Data!U26+Data!V26)/((Data!V41+Data!R41)/2)),"-")</f>
        <v>0.16908146384126616</v>
      </c>
      <c r="W12" s="258">
        <f>IFERROR(IF(OR(NOT(ISNUMBER(Data!T26)),NOT(ISNUMBER(Data!U26)),NOT(ISNUMBER(Data!V26)),NOT(ISNUMBER(Data!W26)),NOT(ISNUMBER(Data!W41)),NOT(ISNUMBER(Data!S41))),"-",(Data!T26+Data!U26+Data!V26+Data!W26)/((Data!W41+Data!S41)/2)),"-")</f>
      </c>
      <c r="X12" s="258">
        <f>IFERROR(IF(OR(NOT(ISNUMBER(Data!U26)),NOT(ISNUMBER(Data!V26)),NOT(ISNUMBER(Data!W26)),NOT(ISNUMBER(Data!X26)),NOT(ISNUMBER(Data!X41)),NOT(ISNUMBER(Data!T41))),"-",(Data!U26+Data!V26+Data!W26+Data!X26)/((Data!X41+Data!T41)/2)),"-")</f>
      </c>
      <c r="Y12" s="258">
        <f>IFERROR(IF(OR(NOT(ISNUMBER(Data!V26)),NOT(ISNUMBER(Data!W26)),NOT(ISNUMBER(Data!X26)),NOT(ISNUMBER(Data!Y26)),NOT(ISNUMBER(Data!Y41)),NOT(ISNUMBER(Data!U41))),"-",(Data!V26+Data!W26+Data!X26+Data!Y26)/((Data!Y41+Data!U41)/2)),"-")</f>
      </c>
    </row>
    <row r="13" ht="15" customHeight="1" s="74">
      <c r="A13" s="17" t="inlineStr">
        <is>
          <t>ROA</t>
        </is>
      </c>
      <c r="B13" s="90">
        <f>IFERROR(IF(OR(NOT(ISNUMBER(Data!B26)),NOT(ISNUMBER(Data!B39))),"-",Data!B26/(Data!B39)),"-")</f>
      </c>
      <c r="C13" s="90">
        <f>IFERROR(IF(OR(NOT(ISNUMBER(Data!C26)),NOT(ISNUMBER(Data!C39))),"-",Data!C26/(IF(OR(NOT(ISNUMBER(Data!B39)),Data!B39=0),Data!C39,(Data!C39+Data!B39)/2))),"-")</f>
        <v>0.010215114390890425</v>
      </c>
      <c r="D13" s="90">
        <f>IFERROR(IF(OR(NOT(ISNUMBER(Data!D26)),NOT(ISNUMBER(Data!D39))),"-",Data!D26/(IF(OR(NOT(ISNUMBER(Data!C39)),Data!C39=0),Data!D39,(Data!D39+Data!C39)/2))),"-")</f>
        <v>0.0066059804804931245</v>
      </c>
      <c r="E13" s="90">
        <f>IFERROR(IF(OR(NOT(ISNUMBER(Data!E26)),NOT(ISNUMBER(Data!E39))),"-",Data!E26/(IF(OR(NOT(ISNUMBER(Data!D39)),Data!D39=0),Data!E39,(Data!E39+Data!D39)/2))),"-")</f>
        <v>0.04290120189456346</v>
      </c>
      <c r="F13" s="90">
        <f>IFERROR(IF(OR(NOT(ISNUMBER(Data!F26)),NOT(ISNUMBER(Data!F39))),"-",Data!F26/(IF(OR(NOT(ISNUMBER(Data!E39)),Data!E39=0),Data!F39,(Data!F39+Data!E39)/2))),"-")</f>
        <v>0.002934907934733238</v>
      </c>
      <c r="G13" s="90">
        <f>IFERROR(IF(OR(NOT(ISNUMBER(Data!G26)),NOT(ISNUMBER(Data!G39))),"-",Data!G26/(IF(OR(NOT(ISNUMBER(Data!F39)),Data!F39=0),Data!G39,(Data!G39+Data!F39)/2))),"-")</f>
        <v>0.06706910324721849</v>
      </c>
      <c r="H13" s="90">
        <f>IFERROR(IF(OR(NOT(ISNUMBER(Data!H26)),NOT(ISNUMBER(Data!H39))),"-",Data!H26/(IF(OR(NOT(ISNUMBER(Data!G39)),Data!G39=0),Data!H39,(Data!H39+Data!G39)/2))),"-")</f>
        <v>0.01788124574329763</v>
      </c>
      <c r="I13" s="90">
        <f>IFERROR(IF(OR(NOT(ISNUMBER(Data!I26)),NOT(ISNUMBER(Data!I39))),"-",Data!I26/(IF(OR(NOT(ISNUMBER(Data!H39)),Data!H39=0),Data!I39,(Data!I39+Data!H39)/2))),"-")</f>
        <v>0.0021436890001958176</v>
      </c>
      <c r="J13" s="90">
        <f>IFERROR(IF(OR(NOT(ISNUMBER(Data!J26)),NOT(ISNUMBER(Data!J39))),"-",Data!J26/(IF(OR(NOT(ISNUMBER(Data!I39)),Data!I39=0),Data!J39,(Data!J39+Data!I39)/2))),"-")</f>
        <v>0.041636466135137315</v>
      </c>
      <c r="K13" s="90">
        <f>IFERROR(IF(OR(NOT(ISNUMBER(Data!K26)),NOT(ISNUMBER(Data!K39))),"-",Data!K26/(IF(OR(NOT(ISNUMBER(Data!J39)),Data!J39=0),Data!K39,(Data!K39+Data!J39)/2))),"-")</f>
        <v>0.06112916829016873</v>
      </c>
      <c r="L13" s="90">
        <f>IFERROR(IF(OR(NOT(ISNUMBER(Data!L26)),NOT(ISNUMBER(Data!L39))),"-",Data!L26/(IF(OR(NOT(ISNUMBER(Data!K39)),Data!K39=0),Data!L39,(Data!L39+Data!K39)/2))),"-")</f>
        <v>0.06929234829231577</v>
      </c>
      <c r="M13" s="261"/>
      <c r="N13" s="249"/>
      <c r="O13" s="249"/>
      <c r="P13" s="249"/>
      <c r="Q13" s="249">
        <f>IFERROR(IF(OR(NOT(ISNUMBER(Data!N26)),NOT(ISNUMBER(Data!O26)),NOT(ISNUMBER(Data!P26)),NOT(ISNUMBER(Data!Q26)),NOT(ISNUMBER(Data!Q39))),"-",(Data!N26+Data!O26+Data!P26+Data!Q26)/Data!Q39),"-")</f>
        <v>0.060207135084719414</v>
      </c>
      <c r="R13" s="249">
        <f>IFERROR(IF(OR(NOT(ISNUMBER(Data!O26)),NOT(ISNUMBER(Data!P26)),NOT(ISNUMBER(Data!Q26)),NOT(ISNUMBER(Data!R26)),NOT(ISNUMBER(Data!R39)),NOT(ISNUMBER(Data!N39))),"-",(Data!O26+Data!P26+Data!Q26+Data!R26)/((Data!R39+Data!N39)/2)),"-")</f>
        <v>0.06370963601827609</v>
      </c>
      <c r="S13" s="249">
        <f>IFERROR(IF(OR(NOT(ISNUMBER(Data!P26)),NOT(ISNUMBER(Data!Q26)),NOT(ISNUMBER(Data!R26)),NOT(ISNUMBER(Data!S26)),NOT(ISNUMBER(Data!S39)),NOT(ISNUMBER(Data!O39))),"-",(Data!P26+Data!Q26+Data!R26+Data!S26)/((Data!S39+Data!O39)/2)),"-")</f>
        <v>0.07022813868555437</v>
      </c>
      <c r="T13" s="249">
        <f>IFERROR(IF(OR(NOT(ISNUMBER(Data!Q26)),NOT(ISNUMBER(Data!R26)),NOT(ISNUMBER(Data!S26)),NOT(ISNUMBER(Data!T26)),NOT(ISNUMBER(Data!T39)),NOT(ISNUMBER(Data!P39))),"-",(Data!Q26+Data!R26+Data!S26+Data!T26)/((Data!T39+Data!P39)/2)),"-")</f>
        <v>0.07743152906362745</v>
      </c>
      <c r="U13" s="249">
        <f>IFERROR(IF(OR(NOT(ISNUMBER(Data!R26)),NOT(ISNUMBER(Data!S26)),NOT(ISNUMBER(Data!T26)),NOT(ISNUMBER(Data!U26)),NOT(ISNUMBER(Data!U39)),NOT(ISNUMBER(Data!Q39))),"-",(Data!R26+Data!S26+Data!T26+Data!U26)/((Data!U39+Data!Q39)/2)),"-")</f>
        <v>0.06929234829231577</v>
      </c>
      <c r="V13" s="256">
        <f>IFERROR(IF(OR(NOT(ISNUMBER(Data!S26)),NOT(ISNUMBER(Data!T26)),NOT(ISNUMBER(Data!U26)),NOT(ISNUMBER(Data!V26)),NOT(ISNUMBER(Data!V39)),NOT(ISNUMBER(Data!R39))),"-",(Data!S26+Data!T26+Data!U26+Data!V26)/((Data!V39+Data!R39)/2)),"-")</f>
        <v>0.07816259924984169</v>
      </c>
      <c r="W13" s="256">
        <f>IFERROR(IF(OR(NOT(ISNUMBER(Data!T26)),NOT(ISNUMBER(Data!U26)),NOT(ISNUMBER(Data!V26)),NOT(ISNUMBER(Data!W26)),NOT(ISNUMBER(Data!W39)),NOT(ISNUMBER(Data!S39))),"-",(Data!T26+Data!U26+Data!V26+Data!W26)/((Data!W39+Data!S39)/2)),"-")</f>
      </c>
      <c r="X13" s="256">
        <f>IFERROR(IF(OR(NOT(ISNUMBER(Data!U26)),NOT(ISNUMBER(Data!V26)),NOT(ISNUMBER(Data!W26)),NOT(ISNUMBER(Data!X26)),NOT(ISNUMBER(Data!X39)),NOT(ISNUMBER(Data!T39))),"-",(Data!U26+Data!V26+Data!W26+Data!X26)/((Data!X39+Data!T39)/2)),"-")</f>
      </c>
      <c r="Y13" s="256">
        <f>IFERROR(IF(OR(NOT(ISNUMBER(Data!V26)),NOT(ISNUMBER(Data!W26)),NOT(ISNUMBER(Data!X26)),NOT(ISNUMBER(Data!Y26)),NOT(ISNUMBER(Data!Y39)),NOT(ISNUMBER(Data!U39))),"-",(Data!V26+Data!W26+Data!X26+Data!Y26)/((Data!Y39+Data!U39)/2)),"-")</f>
      </c>
    </row>
    <row r="14" ht="15" customHeight="1" s="74">
      <c r="A14" s="15" t="inlineStr">
        <is>
          <t>ROIC</t>
        </is>
      </c>
      <c r="B14" s="89">
        <f>IFERROR(IF(NOT(ISNUMBER(Data!B22)),"-",(Data!B22*(1-IF(AND(ISNUMBER(Data!B24),Data!B24&lt;&gt;0,ISNUMBER(Data!B25)),Data!B25/Data!B24,0.21)))/((Data!B41+Data!B35-Data!B32))),"-")</f>
        <v>-0.022055342006980505</v>
      </c>
      <c r="C14" s="89">
        <f>IFERROR(IF(NOT(ISNUMBER(Data!C22)),"-",(Data!C22*(1-IF(AND(ISNUMBER(Data!C24),Data!C24&lt;&gt;0,ISNUMBER(Data!C25)),Data!C25/Data!C24,0.21)))/(IF(AND(ISNUMBER(Data!B41),ISNUMBER(Data!B35),ISNUMBER(Data!B32)),((Data!C41+Data!C35-Data!C32)+(Data!B41+Data!B35-Data!B32))/2,(Data!C41+Data!C35-Data!C32)))),"-")</f>
        <v>0.05752145098656141</v>
      </c>
      <c r="D14" s="89">
        <f>IFERROR(IF(NOT(ISNUMBER(Data!D22)),"-",(Data!D22*(1-IF(AND(ISNUMBER(Data!D24),Data!D24&lt;&gt;0,ISNUMBER(Data!D25)),Data!D25/Data!D24,0.21)))/(IF(AND(ISNUMBER(Data!C41),ISNUMBER(Data!C35),ISNUMBER(Data!C32)),((Data!D41+Data!D35-Data!D32)+(Data!C41+Data!C35-Data!C32))/2,(Data!D41+Data!D35-Data!D32)))),"-")</f>
        <v>0.018062000386502967</v>
      </c>
      <c r="E14" s="89">
        <f>IFERROR(IF(NOT(ISNUMBER(Data!E22)),"-",(Data!E22*(1-IF(AND(ISNUMBER(Data!E24),Data!E24&lt;&gt;0,ISNUMBER(Data!E25)),Data!E25/Data!E24,0.21)))/(IF(AND(ISNUMBER(Data!D41),ISNUMBER(Data!D35),ISNUMBER(Data!D32)),((Data!E41+Data!E35-Data!E32)+(Data!D41+Data!D35-Data!D32))/2,(Data!E41+Data!E35-Data!E32)))),"-")</f>
        <v>0.05252416180763371</v>
      </c>
      <c r="F14" s="89">
        <f>IFERROR(IF(NOT(ISNUMBER(Data!F22)),"-",(Data!F22*(1-IF(AND(ISNUMBER(Data!F24),Data!F24&lt;&gt;0,ISNUMBER(Data!F25)),Data!F25/Data!F24,0.21)))/(IF(AND(ISNUMBER(Data!E41),ISNUMBER(Data!E35),ISNUMBER(Data!E32)),((Data!F41+Data!F35-Data!F32)+(Data!E41+Data!E35-Data!E32))/2,(Data!F41+Data!F35-Data!F32)))),"-")</f>
        <v>0.002462287625882827</v>
      </c>
      <c r="G14" s="89">
        <f>IFERROR(IF(NOT(ISNUMBER(Data!G22)),"-",(Data!G22*(1-IF(AND(ISNUMBER(Data!G24),Data!G24&lt;&gt;0,ISNUMBER(Data!G25)),Data!G25/Data!G24,0.21)))/(IF(AND(ISNUMBER(Data!F41),ISNUMBER(Data!F35),ISNUMBER(Data!F32)),((Data!G41+Data!G35-Data!G32)+(Data!F41+Data!F35-Data!F32))/2,(Data!G41+Data!G35-Data!G32)))),"-")</f>
        <v>0.02379032133542959</v>
      </c>
      <c r="H14" s="89">
        <f>IFERROR(IF(NOT(ISNUMBER(Data!H22)),"-",(Data!H22*(1-IF(AND(ISNUMBER(Data!H24),Data!H24&lt;&gt;0,ISNUMBER(Data!H25)),Data!H25/Data!H24,0.21)))/(IF(AND(ISNUMBER(Data!G41),ISNUMBER(Data!G35),ISNUMBER(Data!G32)),((Data!H41+Data!H35-Data!H32)+(Data!G41+Data!G35-Data!G32))/2,(Data!H41+Data!H35-Data!H32)))),"-")</f>
        <v>0.011428240662245022</v>
      </c>
      <c r="I14" s="89">
        <f>IFERROR(IF(NOT(ISNUMBER(Data!I22)),"-",(Data!I22*(1-IF(AND(ISNUMBER(Data!I24),Data!I24&lt;&gt;0,ISNUMBER(Data!I25)),Data!I25/Data!I24,0.21)))/(IF(AND(ISNUMBER(Data!H41),ISNUMBER(Data!H35),ISNUMBER(Data!H32)),((Data!I41+Data!I35-Data!I32)+(Data!H41+Data!H35-Data!H32))/2,(Data!I41+Data!I35-Data!I32)))),"-")</f>
        <v>0.0056629518083435495</v>
      </c>
      <c r="J14" s="89">
        <f>IFERROR(IF(NOT(ISNUMBER(Data!J22)),"-",(Data!J22*(1-IF(AND(ISNUMBER(Data!J24),Data!J24&lt;&gt;0,ISNUMBER(Data!J25)),Data!J25/Data!J24,0.21)))/(IF(AND(ISNUMBER(Data!I41),ISNUMBER(Data!I35),ISNUMBER(Data!I32)),((Data!J41+Data!J35-Data!J32)+(Data!I41+Data!I35-Data!I32))/2,(Data!J41+Data!J35-Data!J32)))),"-")</f>
        <v>0.07521726199387209</v>
      </c>
      <c r="K14" s="89">
        <f>IFERROR(IF(NOT(ISNUMBER(Data!K22)),"-",(Data!K22*(1-IF(AND(ISNUMBER(Data!K24),Data!K24&lt;&gt;0,ISNUMBER(Data!K25)),Data!K25/Data!K24,0.21)))/(IF(AND(ISNUMBER(Data!J41),ISNUMBER(Data!J35),ISNUMBER(Data!J32)),((Data!K41+Data!K35-Data!K32)+(Data!J41+Data!J35-Data!J32))/2,(Data!K41+Data!K35-Data!K32)))),"-")</f>
        <v>0.10869653968843583</v>
      </c>
      <c r="L14" s="89">
        <f>IFERROR(IF(NOT(ISNUMBER(Data!L22)),"-",(Data!L22*(1-IF(AND(ISNUMBER(Data!L24),Data!L24&lt;&gt;0,ISNUMBER(Data!L25)),Data!L25/Data!L24,0.21)))/(IF(AND(ISNUMBER(Data!K41),ISNUMBER(Data!K35),ISNUMBER(Data!K32)),((Data!L41+Data!L35-Data!L32)+(Data!K41+Data!K35-Data!K32))/2,(Data!L41+Data!L35-Data!L32)))),"-")</f>
        <v>0.10913384561116025</v>
      </c>
      <c r="M14" s="261"/>
      <c r="N14" s="250"/>
      <c r="O14" s="250"/>
      <c r="P14" s="250"/>
      <c r="Q14" s="250">
        <f>IFERROR(IF(OR(NOT(ISNUMBER(Data!N22)),NOT(ISNUMBER(Data!O22)),NOT(ISNUMBER(Data!P22)),NOT(ISNUMBER(Data!Q22))),"-",((Data!N22+Data!O22+Data!P22+Data!Q22)*(1-IFERROR((Data!N25+Data!O25+Data!P25+Data!Q25)/(Data!N24+Data!O24+Data!P24+Data!Q24),0.21)))/(Data!Q41+Data!Q35-Data!Q32)),"-")</f>
        <v>0.10801589053934497</v>
      </c>
      <c r="R14" s="250">
        <f>IFERROR(IF(OR(NOT(ISNUMBER(Data!O22)),NOT(ISNUMBER(Data!P22)),NOT(ISNUMBER(Data!Q22)),NOT(ISNUMBER(Data!R22))),"-",((Data!O22+Data!P22+Data!Q22+Data!R22)*(1-IFERROR((Data!O25+Data!P25+Data!Q25+Data!R25)/(Data!O24+Data!P24+Data!Q24+Data!R24),0.21)))/(((Data!R41+Data!R35-Data!R32)+(Data!N41+Data!N35-Data!N32))/2)),"-")</f>
        <v>0.1186212888631913</v>
      </c>
      <c r="S14" s="250">
        <f>IFERROR(IF(OR(NOT(ISNUMBER(Data!P22)),NOT(ISNUMBER(Data!Q22)),NOT(ISNUMBER(Data!R22)),NOT(ISNUMBER(Data!S22))),"-",((Data!P22+Data!Q22+Data!R22+Data!S22)*(1-IFERROR((Data!P25+Data!Q25+Data!R25+Data!S25)/(Data!P24+Data!Q24+Data!R24+Data!S24),0.21)))/(((Data!S41+Data!S35-Data!S32)+(Data!O41+Data!O35-Data!O32))/2)),"-")</f>
        <v>0.12166150666106783</v>
      </c>
      <c r="T14" s="250">
        <f>IFERROR(IF(OR(NOT(ISNUMBER(Data!Q22)),NOT(ISNUMBER(Data!R22)),NOT(ISNUMBER(Data!S22)),NOT(ISNUMBER(Data!T22))),"-",((Data!Q22+Data!R22+Data!S22+Data!T22)*(1-IFERROR((Data!Q25+Data!R25+Data!S25+Data!T25)/(Data!Q24+Data!R24+Data!S24+Data!T24),0.21)))/(((Data!T41+Data!T35-Data!T32)+(Data!P41+Data!P35-Data!P32))/2)),"-")</f>
        <v>0.12099686720564064</v>
      </c>
      <c r="U14" s="250">
        <f>IFERROR(IF(OR(NOT(ISNUMBER(Data!R22)),NOT(ISNUMBER(Data!S22)),NOT(ISNUMBER(Data!T22)),NOT(ISNUMBER(Data!U22))),"-",((Data!R22+Data!S22+Data!T22+Data!U22)*(1-IFERROR((Data!R25+Data!S25+Data!T25+Data!U25)/(Data!R24+Data!S24+Data!T24+Data!U24),0.21)))/(((Data!U41+Data!U35-Data!U32)+(Data!Q41+Data!Q35-Data!Q32))/2)),"-")</f>
        <v>0.10913384561116025</v>
      </c>
      <c r="V14" s="258">
        <f>IFERROR(IF(OR(NOT(ISNUMBER(Data!S22)),NOT(ISNUMBER(Data!T22)),NOT(ISNUMBER(Data!U22)),NOT(ISNUMBER(Data!V22))),"-",((Data!S22+Data!T22+Data!U22+Data!V22)*(1-IFERROR((Data!S25+Data!T25+Data!U25+Data!V25)/(Data!S24+Data!T24+Data!U24+Data!V24),0.21)))/(((Data!V41+Data!V35-Data!V32)+(Data!R41+Data!R35-Data!R32))/2)),"-")</f>
        <v>0.1204297746829867</v>
      </c>
      <c r="W14" s="258">
        <f>IFERROR(IF(OR(NOT(ISNUMBER(Data!T22)),NOT(ISNUMBER(Data!U22)),NOT(ISNUMBER(Data!V22)),NOT(ISNUMBER(Data!W22))),"-",((Data!T22+Data!U22+Data!V22+Data!W22)*(1-IFERROR((Data!T25+Data!U25+Data!V25+Data!W25)/(Data!T24+Data!U24+Data!V24+Data!W24),0.21)))/(((Data!W41+Data!W35-Data!W32)+(Data!S41+Data!S35-Data!S32))/2)),"-")</f>
      </c>
      <c r="X14" s="258">
        <f>IFERROR(IF(OR(NOT(ISNUMBER(Data!U22)),NOT(ISNUMBER(Data!V22)),NOT(ISNUMBER(Data!W22)),NOT(ISNUMBER(Data!X22))),"-",((Data!U22+Data!V22+Data!W22+Data!X22)*(1-IFERROR((Data!U25+Data!V25+Data!W25+Data!X25)/(Data!U24+Data!V24+Data!W24+Data!X24),0.21)))/(((Data!X41+Data!X35-Data!X32)+(Data!T41+Data!T35-Data!T32))/2)),"-")</f>
      </c>
      <c r="Y14" s="258">
        <f>IFERROR(IF(OR(NOT(ISNUMBER(Data!V22)),NOT(ISNUMBER(Data!W22)),NOT(ISNUMBER(Data!X22)),NOT(ISNUMBER(Data!Y22))),"-",((Data!V22+Data!W22+Data!X22+Data!Y22)*(1-IFERROR((Data!V25+Data!W25+Data!X25+Data!Y25)/(Data!V24+Data!W24+Data!X24+Data!Y24),0.21)))/(((Data!Y41+Data!Y35-Data!Y32)+(Data!U41+Data!U35-Data!U32))/2)),"-")</f>
      </c>
    </row>
    <row r="15" ht="15" customHeight="1" s="74">
      <c r="A15" s="17" t="inlineStr">
        <is>
          <t>Interest Coverage</t>
        </is>
      </c>
      <c r="B15" s="91">
        <f>IFERROR(IF(OR(NOT(ISNUMBER(Data!B22)),NOT(ISNUMBER(Data!B23))),"-",ABS(Data!B22)/ABS(Data!B23)),"-")</f>
        <v>1.5854728564530594</v>
      </c>
      <c r="C15" s="91">
        <f>IFERROR(IF(OR(NOT(ISNUMBER(Data!C22)),NOT(ISNUMBER(Data!C23))),"-",ABS(Data!C22)/ABS(Data!C23)),"-")</f>
        <v>0.721760237335371</v>
      </c>
      <c r="D15" s="91">
        <f>IFERROR(IF(OR(NOT(ISNUMBER(Data!D22)),NOT(ISNUMBER(Data!D23))),"-",ABS(Data!D22)/ABS(Data!D23)),"-")</f>
        <v>2.711753677696882</v>
      </c>
      <c r="E15" s="91">
        <f>IFERROR(IF(OR(NOT(ISNUMBER(Data!E22)),NOT(ISNUMBER(Data!E23))),"-",ABS(Data!E22)/ABS(Data!E23)),"-")</f>
        <v>3.4740259740259742</v>
      </c>
      <c r="F15" s="91">
        <f>IFERROR(IF(OR(NOT(ISNUMBER(Data!F22)),NOT(ISNUMBER(Data!F23))),"-",ABS(Data!F22)/ABS(Data!F23)),"-")</f>
        <v>2.267175572519084</v>
      </c>
      <c r="G15" s="91">
        <f>IFERROR(IF(OR(NOT(ISNUMBER(Data!G22)),NOT(ISNUMBER(Data!G23))),"-",ABS(Data!G22)/ABS(Data!G23)),"-")</f>
        <v>4.136363636363637</v>
      </c>
      <c r="H15" s="91">
        <f>IFERROR(IF(OR(NOT(ISNUMBER(Data!H22)),NOT(ISNUMBER(Data!H23))),"-",ABS(Data!H22)/ABS(Data!H23)),"-")</f>
      </c>
      <c r="I15" s="91">
        <f>IFERROR(IF(OR(NOT(ISNUMBER(Data!I22)),NOT(ISNUMBER(Data!I23))),"-",ABS(Data!I22)/ABS(Data!I23)),"-")</f>
      </c>
      <c r="J15" s="91">
        <f>IFERROR(IF(OR(NOT(ISNUMBER(Data!J22)),NOT(ISNUMBER(Data!J23))),"-",ABS(Data!J22)/ABS(Data!J23)),"-")</f>
      </c>
      <c r="K15" s="91">
        <f>IFERROR(IF(OR(NOT(ISNUMBER(Data!K22)),NOT(ISNUMBER(Data!K23))),"-",ABS(Data!K22)/ABS(Data!K23)),"-")</f>
      </c>
      <c r="L15" s="91">
        <f>IFERROR(IF(OR(NOT(ISNUMBER(Data!L22)),NOT(ISNUMBER(Data!L23))),"-",ABS(Data!L22)/ABS(Data!L23)),"-")</f>
      </c>
      <c r="M15" s="261"/>
      <c r="N15" s="244"/>
      <c r="O15" s="244"/>
      <c r="P15" s="244"/>
      <c r="Q15" s="244">
        <f>IFERROR(IF(OR(NOT(ISNUMBER(Data!N22)),NOT(ISNUMBER(Data!O22)),NOT(ISNUMBER(Data!P22)),NOT(ISNUMBER(Data!Q22)),NOT(ISNUMBER(Data!N23)),NOT(ISNUMBER(Data!O23)),NOT(ISNUMBER(Data!P23)),NOT(ISNUMBER(Data!Q23))),"-",ABS((Data!N22+Data!O22+Data!P22+Data!Q22))/ABS((Data!N23+Data!O23+Data!P23+Data!Q23))),"-")</f>
      </c>
      <c r="R15" s="244">
        <f>IFERROR(IF(OR(NOT(ISNUMBER(Data!O22)),NOT(ISNUMBER(Data!P22)),NOT(ISNUMBER(Data!Q22)),NOT(ISNUMBER(Data!R22)),NOT(ISNUMBER(Data!O23)),NOT(ISNUMBER(Data!P23)),NOT(ISNUMBER(Data!Q23)),NOT(ISNUMBER(Data!R23))),"-",ABS((Data!O22+Data!P22+Data!Q22+Data!R22))/ABS((Data!O23+Data!P23+Data!Q23+Data!R23))),"-")</f>
      </c>
      <c r="S15" s="244">
        <f>IFERROR(IF(OR(NOT(ISNUMBER(Data!P22)),NOT(ISNUMBER(Data!Q22)),NOT(ISNUMBER(Data!R22)),NOT(ISNUMBER(Data!S22)),NOT(ISNUMBER(Data!P23)),NOT(ISNUMBER(Data!Q23)),NOT(ISNUMBER(Data!R23)),NOT(ISNUMBER(Data!S23))),"-",ABS((Data!P22+Data!Q22+Data!R22+Data!S22))/ABS((Data!P23+Data!Q23+Data!R23+Data!S23))),"-")</f>
      </c>
      <c r="T15" s="244">
        <f>IFERROR(IF(OR(NOT(ISNUMBER(Data!Q22)),NOT(ISNUMBER(Data!R22)),NOT(ISNUMBER(Data!S22)),NOT(ISNUMBER(Data!T22)),NOT(ISNUMBER(Data!Q23)),NOT(ISNUMBER(Data!R23)),NOT(ISNUMBER(Data!S23)),NOT(ISNUMBER(Data!T23))),"-",ABS((Data!Q22+Data!R22+Data!S22+Data!T22))/ABS((Data!Q23+Data!R23+Data!S23+Data!T23))),"-")</f>
      </c>
      <c r="U15" s="244">
        <f>IFERROR(IF(OR(NOT(ISNUMBER(Data!R22)),NOT(ISNUMBER(Data!S22)),NOT(ISNUMBER(Data!T22)),NOT(ISNUMBER(Data!U22)),NOT(ISNUMBER(Data!R23)),NOT(ISNUMBER(Data!S23)),NOT(ISNUMBER(Data!T23)),NOT(ISNUMBER(Data!U23))),"-",ABS((Data!R22+Data!S22+Data!T22+Data!U22))/ABS((Data!R23+Data!S23+Data!T23+Data!U23))),"-")</f>
      </c>
      <c r="V15" s="256">
        <f>IFERROR(IF(OR(NOT(ISNUMBER(Data!S22)),NOT(ISNUMBER(Data!T22)),NOT(ISNUMBER(Data!U22)),NOT(ISNUMBER(Data!V22)),NOT(ISNUMBER(Data!S23)),NOT(ISNUMBER(Data!T23)),NOT(ISNUMBER(Data!U23)),NOT(ISNUMBER(Data!V23))),"-",ABS((Data!S22+Data!T22+Data!U22+Data!V22))/ABS((Data!S23+Data!T23+Data!U23+Data!V23))),"-")</f>
      </c>
      <c r="W15" s="463">
        <f>IFERROR(IF(OR(NOT(ISNUMBER(Data!T22)),NOT(ISNUMBER(Data!U22)),NOT(ISNUMBER(Data!V22)),NOT(ISNUMBER(Data!W22)),NOT(ISNUMBER(Data!T23)),NOT(ISNUMBER(Data!U23)),NOT(ISNUMBER(Data!V23)),NOT(ISNUMBER(Data!W23))),"-",ABS((Data!T22+Data!U22+Data!V22+Data!W22))/ABS((Data!T23+Data!U23+Data!V23+Data!W23))),"-")</f>
      </c>
      <c r="X15" s="463">
        <f>IFERROR(IF(OR(NOT(ISNUMBER(Data!U22)),NOT(ISNUMBER(Data!V22)),NOT(ISNUMBER(Data!W22)),NOT(ISNUMBER(Data!X22)),NOT(ISNUMBER(Data!U23)),NOT(ISNUMBER(Data!V23)),NOT(ISNUMBER(Data!W23)),NOT(ISNUMBER(Data!X23))),"-",ABS((Data!U22+Data!V22+Data!W22+Data!X22))/ABS((Data!U23+Data!V23+Data!W23+Data!X23))),"-")</f>
      </c>
      <c r="Y15" s="463">
        <f>IFERROR(IF(OR(NOT(ISNUMBER(Data!V22)),NOT(ISNUMBER(Data!W22)),NOT(ISNUMBER(Data!X22)),NOT(ISNUMBER(Data!Y22)),NOT(ISNUMBER(Data!V23)),NOT(ISNUMBER(Data!W23)),NOT(ISNUMBER(Data!X23)),NOT(ISNUMBER(Data!Y23))),"-",ABS((Data!V22+Data!W22+Data!X22+Data!Y22))/ABS((Data!V23+Data!W23+Data!X23+Data!Y23))),"-")</f>
      </c>
    </row>
    <row r="16" ht="15" customHeight="1" s="74">
      <c r="A16" s="15" t="inlineStr">
        <is>
          <t>Debt / Equity</t>
        </is>
      </c>
      <c r="B16" s="92">
        <f>IFERROR(IF(OR(NOT(ISNUMBER(Data!B35)),NOT(ISNUMBER(Data!B41))),"-",Data!B35/Data!B41),"-")</f>
      </c>
      <c r="C16" s="92">
        <f>IFERROR(IF(OR(NOT(ISNUMBER(Data!C35)),NOT(ISNUMBER(Data!C41))),"-",Data!C35/Data!C41),"-")</f>
        <v>0.2677809322428807</v>
      </c>
      <c r="D16" s="92">
        <f>IFERROR(IF(OR(NOT(ISNUMBER(Data!D35)),NOT(ISNUMBER(Data!D41))),"-",Data!D35/Data!D41),"-")</f>
        <v>0.18314946291717013</v>
      </c>
      <c r="E16" s="92">
        <f>IFERROR(IF(OR(NOT(ISNUMBER(Data!E35)),NOT(ISNUMBER(Data!E41))),"-",Data!E35/Data!E41),"-")</f>
        <v>0.20352451137455943</v>
      </c>
      <c r="F16" s="92">
        <f>IFERROR(IF(OR(NOT(ISNUMBER(Data!F35)),NOT(ISNUMBER(Data!F41))),"-",Data!F35/Data!F41),"-")</f>
        <v>0.0790025084845802</v>
      </c>
      <c r="G16" s="92">
        <f>IFERROR(IF(OR(NOT(ISNUMBER(Data!G35)),NOT(ISNUMBER(Data!G41))),"-",Data!G35/Data!G41),"-")</f>
        <v>0.06451690646615092</v>
      </c>
      <c r="H16" s="92">
        <f>IFERROR(IF(OR(NOT(ISNUMBER(Data!H35)),NOT(ISNUMBER(Data!H41))),"-",Data!H35/Data!H41),"-")</f>
        <v>0.18227795840429376</v>
      </c>
      <c r="I16" s="92">
        <f>IFERROR(IF(OR(NOT(ISNUMBER(Data!I35)),NOT(ISNUMBER(Data!I41))),"-",Data!I35/Data!I41),"-")</f>
        <v>0.1816515019105879</v>
      </c>
      <c r="J16" s="92">
        <f>IFERROR(IF(OR(NOT(ISNUMBER(Data!J35)),NOT(ISNUMBER(Data!J41))),"-",Data!J35/Data!J41),"-")</f>
        <v>0.15803239110753445</v>
      </c>
      <c r="K16" s="92">
        <f>IFERROR(IF(OR(NOT(ISNUMBER(Data!K35)),NOT(ISNUMBER(Data!K41))),"-",Data!K35/Data!K41),"-")</f>
        <v>0.137854936001177</v>
      </c>
      <c r="L16" s="92">
        <f>IFERROR(IF(OR(NOT(ISNUMBER(Data!L35)),NOT(ISNUMBER(Data!L41))),"-",Data!L35/Data!L41),"-")</f>
        <v>0.24414121943796288</v>
      </c>
      <c r="M16" s="261"/>
      <c r="N16" s="245">
        <f>IFERROR(IF(OR(NOT(ISNUMBER(Data!N35)),NOT(ISNUMBER(Data!N41))),"-",Data!N35/Data!N41),"-")</f>
        <v>0.15798468575641306</v>
      </c>
      <c r="O16" s="245">
        <f>IFERROR(IF(OR(NOT(ISNUMBER(Data!O35)),NOT(ISNUMBER(Data!O41))),"-",Data!O35/Data!O41),"-")</f>
        <v>0.1462703659361824</v>
      </c>
      <c r="P16" s="245">
        <f>IFERROR(IF(OR(NOT(ISNUMBER(Data!P35)),NOT(ISNUMBER(Data!P41))),"-",Data!P35/Data!P41),"-")</f>
        <v>0.1440751815463477</v>
      </c>
      <c r="Q16" s="245">
        <f>IFERROR(IF(OR(NOT(ISNUMBER(Data!Q35)),NOT(ISNUMBER(Data!Q41))),"-",Data!Q35/Data!Q41),"-")</f>
        <v>0.137854936001177</v>
      </c>
      <c r="R16" s="245">
        <f>IFERROR(IF(OR(NOT(ISNUMBER(Data!R35)),NOT(ISNUMBER(Data!R41))),"-",Data!R35/Data!R41),"-")</f>
        <v>0.13903998945043353</v>
      </c>
      <c r="S16" s="245">
        <f>IFERROR(IF(OR(NOT(ISNUMBER(Data!S35)),NOT(ISNUMBER(Data!S41))),"-",Data!S35/Data!S41),"-")</f>
        <v>0.13755543960344377</v>
      </c>
      <c r="T16" s="245">
        <f>IFERROR(IF(OR(NOT(ISNUMBER(Data!T35)),NOT(ISNUMBER(Data!T41))),"-",Data!T35/Data!T41),"-")</f>
        <v>0.14058412888822244</v>
      </c>
      <c r="U16" s="245">
        <f>IFERROR(IF(OR(NOT(ISNUMBER(Data!U35)),NOT(ISNUMBER(Data!U41))),"-",Data!U35/Data!U41),"-")</f>
        <v>0.24414121943796288</v>
      </c>
      <c r="V16" s="258">
        <f>IFERROR(IF(OR(NOT(ISNUMBER(Data!V35)),NOT(ISNUMBER(Data!V41))),"-",Data!V35/Data!V41),"-")</f>
        <v>1.147363808967431</v>
      </c>
      <c r="W16" s="463">
        <f>IFERROR(IF(OR(NOT(ISNUMBER(Data!W35)),NOT(ISNUMBER(Data!W41))),"-",Data!W35/Data!W41),"-")</f>
      </c>
      <c r="X16" s="463">
        <f>IFERROR(IF(OR(NOT(ISNUMBER(Data!X35)),NOT(ISNUMBER(Data!X41))),"-",Data!X35/Data!X41),"-")</f>
      </c>
      <c r="Y16" s="463">
        <f>IFERROR(IF(OR(NOT(ISNUMBER(Data!Y35)),NOT(ISNUMBER(Data!Y41))),"-",Data!Y35/Data!Y41),"-")</f>
      </c>
    </row>
    <row r="17" ht="15" customHeight="1" s="74">
      <c r="A17" s="17" t="inlineStr">
        <is>
          <t>Current Ratio</t>
        </is>
      </c>
      <c r="B17" s="91">
        <f>IFERROR(IF(OR(NOT(ISNUMBER(Data!B37)),NOT(ISNUMBER(Data!B38))),"-",Data!B37/Data!B38),"-")</f>
      </c>
      <c r="C17" s="91">
        <f>IFERROR(IF(OR(NOT(ISNUMBER(Data!C37)),NOT(ISNUMBER(Data!C38))),"-",Data!C37/Data!C38),"-")</f>
        <v>0.821993687586235</v>
      </c>
      <c r="D17" s="91">
        <f>IFERROR(IF(OR(NOT(ISNUMBER(Data!D37)),NOT(ISNUMBER(Data!D38))),"-",Data!D37/Data!D38),"-")</f>
        <v>0.9171582497804929</v>
      </c>
      <c r="E17" s="91">
        <f>IFERROR(IF(OR(NOT(ISNUMBER(Data!E37)),NOT(ISNUMBER(Data!E38))),"-",Data!E37/Data!E38),"-")</f>
        <v>0.9491781430475345</v>
      </c>
      <c r="F17" s="91">
        <f>IFERROR(IF(OR(NOT(ISNUMBER(Data!F37)),NOT(ISNUMBER(Data!F38))),"-",Data!F37/Data!F38),"-")</f>
        <v>1.0753115527113506</v>
      </c>
      <c r="G17" s="91">
        <f>IFERROR(IF(OR(NOT(ISNUMBER(Data!G37)),NOT(ISNUMBER(Data!G38))),"-",Data!G37/Data!G38),"-")</f>
        <v>1.2347134476534296</v>
      </c>
      <c r="H17" s="91">
        <f>IFERROR(IF(OR(NOT(ISNUMBER(Data!H37)),NOT(ISNUMBER(Data!H38))),"-",Data!H37/Data!H38),"-")</f>
        <v>1.04874242702405</v>
      </c>
      <c r="I17" s="91">
        <f>IFERROR(IF(OR(NOT(ISNUMBER(Data!I37)),NOT(ISNUMBER(Data!I38))),"-",Data!I37/Data!I38),"-")</f>
        <v>1.0194662237843266</v>
      </c>
      <c r="J17" s="91">
        <f>IFERROR(IF(OR(NOT(ISNUMBER(Data!J37)),NOT(ISNUMBER(Data!J38))),"-",Data!J37/Data!J38),"-")</f>
        <v>1.0917351958244152</v>
      </c>
      <c r="K17" s="91">
        <f>IFERROR(IF(OR(NOT(ISNUMBER(Data!K37)),NOT(ISNUMBER(Data!K38))),"-",Data!K37/Data!K38),"-")</f>
        <v>1.0624374553252323</v>
      </c>
      <c r="L17" s="91">
        <f>IFERROR(IF(OR(NOT(ISNUMBER(Data!L37)),NOT(ISNUMBER(Data!L38))),"-",Data!L37/Data!L38),"-")</f>
        <v>0.760331914435045</v>
      </c>
      <c r="M17" s="261"/>
      <c r="N17" s="244">
        <f>IFERROR(IF(OR(NOT(ISNUMBER(Data!N37)),NOT(ISNUMBER(Data!N38))),"-",Data!N37/Data!N38),"-")</f>
        <v>1.10605209728282</v>
      </c>
      <c r="O17" s="244">
        <f>IFERROR(IF(OR(NOT(ISNUMBER(Data!O37)),NOT(ISNUMBER(Data!O38))),"-",Data!O37/Data!O38),"-")</f>
        <v>1.0409980477120138</v>
      </c>
      <c r="P17" s="244">
        <f>IFERROR(IF(OR(NOT(ISNUMBER(Data!P37)),NOT(ISNUMBER(Data!P38))),"-",Data!P37/Data!P38),"-")</f>
        <v>1.1058064516129031</v>
      </c>
      <c r="Q17" s="244">
        <f>IFERROR(IF(OR(NOT(ISNUMBER(Data!Q37)),NOT(ISNUMBER(Data!Q38))),"-",Data!Q37/Data!Q38),"-")</f>
        <v>1.0624374553252323</v>
      </c>
      <c r="R17" s="244">
        <f>IFERROR(IF(OR(NOT(ISNUMBER(Data!R37)),NOT(ISNUMBER(Data!R38))),"-",Data!R37/Data!R38),"-")</f>
        <v>1.069019672673169</v>
      </c>
      <c r="S17" s="244">
        <f>IFERROR(IF(OR(NOT(ISNUMBER(Data!S37)),NOT(ISNUMBER(Data!S38))),"-",Data!S37/Data!S38),"-")</f>
        <v>1.1242233268240724</v>
      </c>
      <c r="T17" s="244">
        <f>IFERROR(IF(OR(NOT(ISNUMBER(Data!T37)),NOT(ISNUMBER(Data!T38))),"-",Data!T37/Data!T38),"-")</f>
        <v>0.9837926202709014</v>
      </c>
      <c r="U17" s="244">
        <f>IFERROR(IF(OR(NOT(ISNUMBER(Data!U37)),NOT(ISNUMBER(Data!U38))),"-",Data!U37/Data!U38),"-")</f>
        <v>0.760331914435045</v>
      </c>
      <c r="V17" s="256">
        <f>IFERROR(IF(OR(NOT(ISNUMBER(Data!V37)),NOT(ISNUMBER(Data!V38))),"-",Data!V37/Data!V38),"-")</f>
        <v>0.7858701185368336</v>
      </c>
      <c r="W17" s="463">
        <f>IFERROR(IF(OR(NOT(ISNUMBER(Data!W37)),NOT(ISNUMBER(Data!W38))),"-",Data!W37/Data!W38),"-")</f>
      </c>
      <c r="X17" s="463">
        <f>IFERROR(IF(OR(NOT(ISNUMBER(Data!X37)),NOT(ISNUMBER(Data!X38))),"-",Data!X37/Data!X38),"-")</f>
      </c>
      <c r="Y17" s="463">
        <f>IFERROR(IF(OR(NOT(ISNUMBER(Data!Y37)),NOT(ISNUMBER(Data!Y38))),"-",Data!Y37/Data!Y38),"-")</f>
      </c>
    </row>
    <row r="18" ht="15" customHeight="1" s="74">
      <c r="A18" s="15" t="inlineStr">
        <is>
          <t>Total Debt / EBITDA</t>
        </is>
      </c>
      <c r="B18" s="92">
        <f>IFERROR(IF(OR(NOT(ISNUMBER(Data!B35)),NOT(ISNUMBER(Data!B20))),"-",Data!B35/Data!B20),"-")</f>
      </c>
      <c r="C18" s="92">
        <f>IFERROR(IF(OR(NOT(ISNUMBER(Data!C35)),NOT(ISNUMBER(Data!C20))),"-",Data!C35/Data!C20),"-")</f>
        <v>2.8836595244898224</v>
      </c>
      <c r="D18" s="92">
        <f>IFERROR(IF(OR(NOT(ISNUMBER(Data!D35)),NOT(ISNUMBER(Data!D20))),"-",Data!D35/Data!D20),"-")</f>
        <v>1.7397345927832548</v>
      </c>
      <c r="E18" s="92">
        <f>IFERROR(IF(OR(NOT(ISNUMBER(Data!E35)),NOT(ISNUMBER(Data!E20))),"-",Data!E35/Data!E20),"-")</f>
        <v>2.1215764863059454</v>
      </c>
      <c r="F18" s="92">
        <f>IFERROR(IF(OR(NOT(ISNUMBER(Data!F35)),NOT(ISNUMBER(Data!F20))),"-",Data!F35/Data!F20),"-")</f>
        <v>1.1007401315789473</v>
      </c>
      <c r="G18" s="92">
        <f>IFERROR(IF(OR(NOT(ISNUMBER(Data!G35)),NOT(ISNUMBER(Data!G20))),"-",Data!G35/Data!G20),"-")</f>
        <v>0.8109663738261133</v>
      </c>
      <c r="H18" s="92">
        <f>IFERROR(IF(OR(NOT(ISNUMBER(Data!H35)),NOT(ISNUMBER(Data!H20))),"-",Data!H35/Data!H20),"-")</f>
        <v>2.7550702028081124</v>
      </c>
      <c r="I18" s="92">
        <f>IFERROR(IF(OR(NOT(ISNUMBER(Data!I35)),NOT(ISNUMBER(Data!I20))),"-",Data!I35/Data!I20),"-")</f>
        <v>2.201204318936877</v>
      </c>
      <c r="J18" s="92">
        <f>IFERROR(IF(OR(NOT(ISNUMBER(Data!J35)),NOT(ISNUMBER(Data!J20))),"-",Data!J35/Data!J20),"-")</f>
        <v>1.050836120401338</v>
      </c>
      <c r="K18" s="92">
        <f>IFERROR(IF(OR(NOT(ISNUMBER(Data!K35)),NOT(ISNUMBER(Data!K20))),"-",Data!K35/Data!K20),"-")</f>
        <v>0.7894589028271859</v>
      </c>
      <c r="L18" s="92">
        <f>IFERROR(IF(OR(NOT(ISNUMBER(Data!L35)),NOT(ISNUMBER(Data!L20))),"-",Data!L35/Data!L20),"-")</f>
        <v>1.2070723959204146</v>
      </c>
      <c r="M18" s="261"/>
      <c r="N18" s="245"/>
      <c r="O18" s="245"/>
      <c r="P18" s="245"/>
      <c r="Q18" s="245">
        <f>IFERROR(IF(OR(NOT(ISNUMBER(Data!Q35)),NOT(ISNUMBER(Data!N20)),NOT(ISNUMBER(Data!O20)),NOT(ISNUMBER(Data!P20)),NOT(ISNUMBER(Data!Q20))),"-",Data!Q35/(Data!N20+Data!O20+Data!P20+Data!Q20)),"-")</f>
        <v>0.7894589028271859</v>
      </c>
      <c r="R18" s="245">
        <f>IFERROR(IF(OR(NOT(ISNUMBER(Data!R35)),NOT(ISNUMBER(Data!O20)),NOT(ISNUMBER(Data!P20)),NOT(ISNUMBER(Data!Q20)),NOT(ISNUMBER(Data!R20))),"-",Data!R35/(Data!O20+Data!P20+Data!Q20+Data!R20)),"-")</f>
        <v>0.7753469988050372</v>
      </c>
      <c r="S18" s="245">
        <f>IFERROR(IF(OR(NOT(ISNUMBER(Data!S35)),NOT(ISNUMBER(Data!P20)),NOT(ISNUMBER(Data!Q20)),NOT(ISNUMBER(Data!R20)),NOT(ISNUMBER(Data!S20))),"-",Data!S35/(Data!P20+Data!Q20+Data!R20+Data!S20)),"-")</f>
        <v>0.7440465690597989</v>
      </c>
      <c r="T18" s="245">
        <f>IFERROR(IF(OR(NOT(ISNUMBER(Data!T35)),NOT(ISNUMBER(Data!Q20)),NOT(ISNUMBER(Data!R20)),NOT(ISNUMBER(Data!S20)),NOT(ISNUMBER(Data!T20))),"-",Data!T35/(Data!Q20+Data!R20+Data!S20+Data!T20)),"-")</f>
        <v>0.7230505569837189</v>
      </c>
      <c r="U18" s="245">
        <f>IFERROR(IF(OR(NOT(ISNUMBER(Data!U35)),NOT(ISNUMBER(Data!R20)),NOT(ISNUMBER(Data!S20)),NOT(ISNUMBER(Data!T20)),NOT(ISNUMBER(Data!U20))),"-",Data!U35/(Data!R20+Data!S20+Data!T20+Data!U20)),"-")</f>
        <v>1.2070723959204146</v>
      </c>
      <c r="V18" s="258">
        <f>IFERROR(IF(OR(NOT(ISNUMBER(Data!V35)),NOT(ISNUMBER(Data!S20)),NOT(ISNUMBER(Data!T20)),NOT(ISNUMBER(Data!U20)),NOT(ISNUMBER(Data!V20))),"-",Data!V35/(Data!S20+Data!T20+Data!U20+Data!V20)),"-")</f>
        <v>3.1401390998481093</v>
      </c>
      <c r="W18" s="463">
        <f>IFERROR(IF(OR(NOT(ISNUMBER(Data!W35)),NOT(ISNUMBER(Data!T20)),NOT(ISNUMBER(Data!U20)),NOT(ISNUMBER(Data!V20)),NOT(ISNUMBER(Data!W20))),"-",Data!W35/(Data!T20+Data!U20+Data!V20+Data!W20)),"-")</f>
      </c>
      <c r="X18" s="463">
        <f>IFERROR(IF(OR(NOT(ISNUMBER(Data!X35)),NOT(ISNUMBER(Data!U20)),NOT(ISNUMBER(Data!V20)),NOT(ISNUMBER(Data!W20)),NOT(ISNUMBER(Data!X20))),"-",Data!X35/(Data!U20+Data!V20+Data!W20+Data!X20)),"-")</f>
      </c>
      <c r="Y18" s="463">
        <f>IFERROR(IF(OR(NOT(ISNUMBER(Data!Y35)),NOT(ISNUMBER(Data!V20)),NOT(ISNUMBER(Data!W20)),NOT(ISNUMBER(Data!X20)),NOT(ISNUMBER(Data!Y20))),"-",Data!Y35/(Data!V20+Data!W20+Data!X20+Data!Y20)),"-")</f>
      </c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N19" s="2"/>
      <c r="O19" s="2"/>
      <c r="P19" s="2"/>
      <c r="Q19" s="2"/>
      <c r="R19" s="2"/>
      <c r="S19" s="2"/>
      <c r="T19" s="2"/>
      <c r="U19" s="2"/>
    </row>
    <row r="20" ht="19" customHeight="1" s="74">
      <c r="A20" s="226" t="inlineStr">
        <is>
          <t>GROWTH RATES (YoY)</t>
        </is>
      </c>
      <c r="V20" s="246"/>
      <c r="W20" s="467"/>
      <c r="X20" s="467"/>
      <c r="Y20" s="467"/>
    </row>
    <row r="21" ht="15" customHeight="1" s="74">
      <c r="A21" s="14" t="inlineStr">
        <is>
          <t>Period</t>
        </is>
      </c>
      <c r="B21" s="14">
        <f>Data!B13</f>
        <v>2016.0</v>
      </c>
      <c r="C21" s="14">
        <f>Data!C13</f>
        <v>2017.0</v>
      </c>
      <c r="D21" s="14">
        <f>Data!D13</f>
        <v>2018.0</v>
      </c>
      <c r="E21" s="14">
        <f>Data!E13</f>
        <v>2019.0</v>
      </c>
      <c r="F21" s="14">
        <f>Data!F13</f>
        <v>2020.0</v>
      </c>
      <c r="G21" s="14">
        <f>Data!G13</f>
        <v>2021.0</v>
      </c>
      <c r="H21" s="14">
        <f>Data!H13</f>
        <v>2022.0</v>
      </c>
      <c r="I21" s="14">
        <f>Data!I13</f>
        <v>2023.0</v>
      </c>
      <c r="J21" s="14">
        <f>Data!J13</f>
        <v>2024.0</v>
      </c>
      <c r="K21" s="14">
        <f>Data!K13</f>
        <v>2025.0</v>
      </c>
      <c r="L21" s="14">
        <f>Data!L13</f>
        <v>2026.0</v>
      </c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</row>
    <row r="22" ht="15" customHeight="1" s="74">
      <c r="A22" s="15" t="inlineStr">
        <is>
          <t>Revenue Growth</t>
        </is>
      </c>
      <c r="B22" s="89"/>
      <c r="C22" s="89">
        <f>IFERROR(IF(OR(NOT(ISNUMBER(Data!C14)),NOT(ISNUMBER(Data!B14))),"-",(Data!C14-Data!B14)/ABS(Data!B14)),"-")</f>
        <v>0.2586938836239894</v>
      </c>
      <c r="D22" s="89">
        <f>IFERROR(IF(OR(NOT(ISNUMBER(Data!D14)),NOT(ISNUMBER(Data!C14))),"-",(Data!D14-Data!C14)/ABS(Data!C14)),"-")</f>
        <v>0.24881219983260217</v>
      </c>
      <c r="E22" s="89">
        <f>IFERROR(IF(OR(NOT(ISNUMBER(Data!E14)),NOT(ISNUMBER(Data!D14))),"-",(Data!E14-Data!D14)/ABS(Data!D14)),"-")</f>
        <v>0.2673649610324873</v>
      </c>
      <c r="F22" s="89">
        <f>IFERROR(IF(OR(NOT(ISNUMBER(Data!F14)),NOT(ISNUMBER(Data!E14))),"-",(Data!F14-Data!E14)/ABS(Data!E14)),"-")</f>
        <v>0.2873061285950911</v>
      </c>
      <c r="G22" s="89">
        <f>IFERROR(IF(OR(NOT(ISNUMBER(Data!G14)),NOT(ISNUMBER(Data!F14))),"-",(Data!G14-Data!F14)/ABS(Data!F14)),"-")</f>
        <v>0.2429523920926424</v>
      </c>
      <c r="H22" s="89">
        <f>IFERROR(IF(OR(NOT(ISNUMBER(Data!H14)),NOT(ISNUMBER(Data!G14))),"-",(Data!H14-Data!G14)/ABS(Data!G14)),"-")</f>
        <v>0.24656502917372483</v>
      </c>
      <c r="I22" s="89">
        <f>IFERROR(IF(OR(NOT(ISNUMBER(Data!I14)),NOT(ISNUMBER(Data!H14))),"-",(Data!I14-Data!H14)/ABS(Data!H14)),"-")</f>
        <v>0.18345160803261362</v>
      </c>
      <c r="J22" s="89">
        <f>IFERROR(IF(OR(NOT(ISNUMBER(Data!J14)),NOT(ISNUMBER(Data!I14))),"-",(Data!J14-Data!I14)/ABS(Data!I14)),"-")</f>
        <v>0.11179510079101812</v>
      </c>
      <c r="K22" s="89">
        <f>IFERROR(IF(OR(NOT(ISNUMBER(Data!K14)),NOT(ISNUMBER(Data!J14))),"-",(Data!K14-Data!J14)/ABS(Data!J14)),"-")</f>
        <v>0.08715609490202829</v>
      </c>
      <c r="L22" s="89">
        <f>IFERROR(IF(OR(NOT(ISNUMBER(Data!L14)),NOT(ISNUMBER(Data!K14))),"-",(Data!L14-Data!K14)/ABS(Data!K14)),"-")</f>
        <v>0.09579100145137881</v>
      </c>
      <c r="M22" s="261"/>
      <c r="N22" s="266"/>
      <c r="O22" s="266"/>
      <c r="P22" s="266"/>
      <c r="Q22" s="266"/>
      <c r="R22" s="266"/>
      <c r="S22" s="266"/>
      <c r="T22" s="266"/>
      <c r="U22" s="266"/>
      <c r="V22" s="261"/>
      <c r="W22" s="469"/>
      <c r="X22" s="469"/>
      <c r="Y22" s="469"/>
    </row>
    <row r="23" ht="15" customHeight="1" s="74">
      <c r="A23" s="17" t="inlineStr">
        <is>
          <t>EBITDA Growth</t>
        </is>
      </c>
      <c r="B23" s="90"/>
      <c r="C23" s="90">
        <f>IFERROR(IF(OR(NOT(ISNUMBER(Data!C20)),NOT(ISNUMBER(Data!B20))),"-",(Data!C20-Data!B20)/ABS(Data!B20)),"-")</f>
        <v>0.0870959132037716</v>
      </c>
      <c r="D23" s="90">
        <f>IFERROR(IF(OR(NOT(ISNUMBER(Data!D20)),NOT(ISNUMBER(Data!C20))),"-",(Data!D20-Data!C20)/ABS(Data!C20)),"-")</f>
        <v>0.4191045453305442</v>
      </c>
      <c r="E23" s="90">
        <f>IFERROR(IF(OR(NOT(ISNUMBER(Data!E20)),NOT(ISNUMBER(Data!D20))),"-",(Data!E20-Data!D20)/ABS(Data!D20)),"-")</f>
        <v>0.514618037006459</v>
      </c>
      <c r="F23" s="90">
        <f>IFERROR(IF(OR(NOT(ISNUMBER(Data!F20)),NOT(ISNUMBER(Data!E20))),"-",(Data!F20-Data!E20)/ABS(Data!E20)),"-")</f>
        <v>0.6245824983299934</v>
      </c>
      <c r="G23" s="90">
        <f>IFERROR(IF(OR(NOT(ISNUMBER(Data!G20)),NOT(ISNUMBER(Data!F20))),"-",(Data!G20-Data!F20)/ABS(Data!F20)),"-")</f>
        <v>0.3573190789473684</v>
      </c>
      <c r="H23" s="90">
        <f>IFERROR(IF(OR(NOT(ISNUMBER(Data!H20)),NOT(ISNUMBER(Data!G20))),"-",(Data!H20-Data!G20)/ABS(Data!G20)),"-")</f>
        <v>0.16510148439866706</v>
      </c>
      <c r="I23" s="90">
        <f>IFERROR(IF(OR(NOT(ISNUMBER(Data!I20)),NOT(ISNUMBER(Data!H20))),"-",(Data!I20-Data!H20)/ABS(Data!H20)),"-")</f>
        <v>0.25221008840353615</v>
      </c>
      <c r="J23" s="90">
        <f>IFERROR(IF(OR(NOT(ISNUMBER(Data!J20)),NOT(ISNUMBER(Data!I20))),"-",(Data!J20-Data!I20)/ABS(Data!I20)),"-")</f>
        <v>0.8625415282392026</v>
      </c>
      <c r="K23" s="90">
        <f>IFERROR(IF(OR(NOT(ISNUMBER(Data!K20)),NOT(ISNUMBER(Data!J20))),"-",(Data!K20-Data!J20)/ABS(Data!J20)),"-")</f>
        <v>0.19085841694537348</v>
      </c>
      <c r="L23" s="90">
        <f>IFERROR(IF(OR(NOT(ISNUMBER(Data!L20)),NOT(ISNUMBER(Data!K20))),"-",(Data!L20-Data!K20)/ABS(Data!K20)),"-")</f>
        <v>0.1198277476128066</v>
      </c>
      <c r="M23" s="261"/>
      <c r="N23" s="266"/>
      <c r="O23" s="266"/>
      <c r="P23" s="266"/>
      <c r="Q23" s="266"/>
      <c r="R23" s="266"/>
      <c r="S23" s="266"/>
      <c r="T23" s="266"/>
      <c r="U23" s="266"/>
      <c r="V23" s="261"/>
      <c r="W23" s="469"/>
      <c r="X23" s="469"/>
      <c r="Y23" s="469"/>
    </row>
    <row r="24" ht="15" customHeight="1" s="74">
      <c r="A24" s="15" t="inlineStr">
        <is>
          <t>EPS Growth</t>
        </is>
      </c>
      <c r="B24" s="89"/>
      <c r="C24" s="89">
        <f>IFERROR(IF(OR(NOT(ISNUMBER(Data!C27)),NOT(ISNUMBER(Data!B27))),"-",(Data!C27-Data!B27)/ABS(Data!B27)),"-")</f>
        <v>4.714285714285714</v>
      </c>
      <c r="D24" s="89">
        <f>IFERROR(IF(OR(NOT(ISNUMBER(Data!D27)),NOT(ISNUMBER(Data!C27))),"-",(Data!D27-Data!C27)/ABS(Data!C27)),"-")</f>
        <v>-0.34615384615384615</v>
      </c>
      <c r="E24" s="89">
        <f>IFERROR(IF(OR(NOT(ISNUMBER(Data!E27)),NOT(ISNUMBER(Data!D27))),"-",(Data!E27-Data!D27)/ABS(Data!D27)),"-")</f>
        <v>7.411764705882352</v>
      </c>
      <c r="F24" s="89">
        <f>IFERROR(IF(OR(NOT(ISNUMBER(Data!F27)),NOT(ISNUMBER(Data!E27))),"-",(Data!F27-Data!E27)/ABS(Data!E27)),"-")</f>
        <v>-0.8951048951048952</v>
      </c>
      <c r="G24" s="89">
        <f>IFERROR(IF(OR(NOT(ISNUMBER(Data!G27)),NOT(ISNUMBER(Data!F27))),"-",(Data!G27-Data!F27)/ABS(Data!F27)),"-")</f>
        <v>28.2</v>
      </c>
      <c r="H24" s="89">
        <f>IFERROR(IF(OR(NOT(ISNUMBER(Data!H27)),NOT(ISNUMBER(Data!G27))),"-",(Data!H27-Data!G27)/ABS(Data!G27)),"-")</f>
        <v>-0.6621004566210046</v>
      </c>
      <c r="I24" s="89">
        <f>IFERROR(IF(OR(NOT(ISNUMBER(Data!I27)),NOT(ISNUMBER(Data!H27))),"-",(Data!I27-Data!H27)/ABS(Data!H27)),"-")</f>
        <v>-0.8581081081081081</v>
      </c>
      <c r="J24" s="89">
        <f>IFERROR(IF(OR(NOT(ISNUMBER(Data!J27)),NOT(ISNUMBER(Data!I27))),"-",(Data!J27-Data!I27)/ABS(Data!I27)),"-")</f>
        <v>19.0</v>
      </c>
      <c r="K24" s="89">
        <f>IFERROR(IF(OR(NOT(ISNUMBER(Data!K27)),NOT(ISNUMBER(Data!J27))),"-",(Data!K27-Data!J27)/ABS(Data!J27)),"-")</f>
        <v>0.5142857142857143</v>
      </c>
      <c r="L24" s="89">
        <f>IFERROR(IF(OR(NOT(ISNUMBER(Data!L27)),NOT(ISNUMBER(Data!K27))),"-",(Data!L27-Data!K27)/ABS(Data!K27)),"-")</f>
        <v>0.22641509433962256</v>
      </c>
      <c r="M24" s="261"/>
      <c r="N24" s="266"/>
      <c r="O24" s="266"/>
      <c r="P24" s="266"/>
      <c r="Q24" s="266"/>
      <c r="R24" s="266"/>
      <c r="S24" s="266"/>
      <c r="T24" s="266"/>
      <c r="U24" s="266"/>
      <c r="V24" s="261"/>
      <c r="W24" s="469"/>
      <c r="X24" s="469"/>
      <c r="Y24" s="469"/>
    </row>
    <row r="25" ht="15" customHeight="1" s="74">
      <c r="A25" s="17" t="inlineStr">
        <is>
          <t>Net Income Growth</t>
        </is>
      </c>
      <c r="B25" s="90"/>
      <c r="C25" s="90">
        <f>IFERROR(IF(OR(NOT(ISNUMBER(Data!C26)),NOT(ISNUMBER(Data!B26))),"-",(Data!C26-Data!B26)/ABS(Data!B26)),"-")</f>
        <v>4.787627040020242</v>
      </c>
      <c r="D25" s="90">
        <f>IFERROR(IF(OR(NOT(ISNUMBER(Data!D26)),NOT(ISNUMBER(Data!C26))),"-",(Data!D26-Data!C26)/ABS(Data!C26)),"-")</f>
        <v>-0.2903380244054512</v>
      </c>
      <c r="E25" s="90">
        <f>IFERROR(IF(OR(NOT(ISNUMBER(Data!E26)),NOT(ISNUMBER(Data!D26))),"-",(Data!E26-Data!D26)/ABS(Data!D26)),"-")</f>
        <v>7.7073848036523955</v>
      </c>
      <c r="F25" s="90">
        <f>IFERROR(IF(OR(NOT(ISNUMBER(Data!F26)),NOT(ISNUMBER(Data!E26))),"-",(Data!F26-Data!E26)/ABS(Data!E26)),"-")</f>
        <v>-0.8864864864864865</v>
      </c>
      <c r="G25" s="90">
        <f>IFERROR(IF(OR(NOT(ISNUMBER(Data!G26)),NOT(ISNUMBER(Data!F26))),"-",(Data!G26-Data!F26)/ABS(Data!F26)),"-")</f>
        <v>31.317460317460316</v>
      </c>
      <c r="H25" s="90">
        <f>IFERROR(IF(OR(NOT(ISNUMBER(Data!H26)),NOT(ISNUMBER(Data!G26))),"-",(Data!H26-Data!G26)/ABS(Data!G26)),"-")</f>
        <v>-0.6453831041257367</v>
      </c>
      <c r="I25" s="90">
        <f>IFERROR(IF(OR(NOT(ISNUMBER(Data!I26)),NOT(ISNUMBER(Data!H26))),"-",(Data!I26-Data!H26)/ABS(Data!H26)),"-")</f>
        <v>-0.8559556786703602</v>
      </c>
      <c r="J25" s="90">
        <f>IFERROR(IF(OR(NOT(ISNUMBER(Data!J26)),NOT(ISNUMBER(Data!I26))),"-",(Data!J26-Data!I26)/ABS(Data!I26)),"-")</f>
        <v>18.884615384615383</v>
      </c>
      <c r="K25" s="90">
        <f>IFERROR(IF(OR(NOT(ISNUMBER(Data!K26)),NOT(ISNUMBER(Data!J26))),"-",(Data!K26-Data!J26)/ABS(Data!J26)),"-")</f>
        <v>0.4983075435203095</v>
      </c>
      <c r="L25" s="90">
        <f>IFERROR(IF(OR(NOT(ISNUMBER(Data!L26)),NOT(ISNUMBER(Data!K26))),"-",(Data!L26-Data!K26)/ABS(Data!K26)),"-")</f>
        <v>0.20332418912376957</v>
      </c>
      <c r="M25" s="261"/>
      <c r="N25" s="266"/>
      <c r="O25" s="266"/>
      <c r="P25" s="266"/>
      <c r="Q25" s="266"/>
      <c r="R25" s="266"/>
      <c r="S25" s="266"/>
      <c r="T25" s="266"/>
      <c r="U25" s="266"/>
      <c r="V25" s="261"/>
      <c r="W25" s="469"/>
      <c r="X25" s="469"/>
      <c r="Y25" s="469"/>
    </row>
    <row r="26" ht="15" customHeight="1" s="74">
      <c r="A26" s="15" t="inlineStr">
        <is>
          <t>FCF Growth</t>
        </is>
      </c>
      <c r="B26" s="89"/>
      <c r="C26" s="89">
        <f>IFERROR(IF(OR(NOT(ISNUMBER(Data!C53)),NOT(ISNUMBER(Data!B53))),"-",(Data!C53-Data!B53)/ABS(Data!B53)),"-")</f>
        <v>0.22386414001102603</v>
      </c>
      <c r="D26" s="89">
        <f>IFERROR(IF(OR(NOT(ISNUMBER(Data!D53)),NOT(ISNUMBER(Data!C53))),"-",(Data!D53-Data!C53)/ABS(Data!C53)),"-")</f>
        <v>0.29777769926512176</v>
      </c>
      <c r="E26" s="89">
        <f>IFERROR(IF(OR(NOT(ISNUMBER(Data!E53)),NOT(ISNUMBER(Data!D53))),"-",(Data!E53-Data!D53)/ABS(Data!D53)),"-")</f>
        <v>0.2718143613840316</v>
      </c>
      <c r="F26" s="89">
        <f>IFERROR(IF(OR(NOT(ISNUMBER(Data!F53)),NOT(ISNUMBER(Data!E53))),"-",(Data!F53-Data!E53)/ABS(Data!E53)),"-")</f>
        <v>0.3157331430610061</v>
      </c>
      <c r="G26" s="89">
        <f>IFERROR(IF(OR(NOT(ISNUMBER(Data!G53)),NOT(ISNUMBER(Data!F53))),"-",(Data!G53-Data!F53)/ABS(Data!F53)),"-")</f>
        <v>0.10927331887201736</v>
      </c>
      <c r="H26" s="89">
        <f>IFERROR(IF(OR(NOT(ISNUMBER(Data!H53)),NOT(ISNUMBER(Data!G53))),"-",(Data!H53-Data!G53)/ABS(Data!G53)),"-")</f>
        <v>0.29137130285993645</v>
      </c>
      <c r="I26" s="89">
        <f>IFERROR(IF(OR(NOT(ISNUMBER(Data!I53)),NOT(ISNUMBER(Data!H53))),"-",(Data!I53-Data!H53)/ABS(Data!H53)),"-")</f>
        <v>0.19496498201779291</v>
      </c>
      <c r="J26" s="89">
        <f>IFERROR(IF(OR(NOT(ISNUMBER(Data!J53)),NOT(ISNUMBER(Data!I53))),"-",(Data!J53-Data!I53)/ABS(Data!I53)),"-")</f>
        <v>0.5045144939014732</v>
      </c>
      <c r="K26" s="89">
        <f>IFERROR(IF(OR(NOT(ISNUMBER(Data!K53)),NOT(ISNUMBER(Data!J53))),"-",(Data!K53-Data!J53)/ABS(Data!J53)),"-")</f>
        <v>0.3091177089913666</v>
      </c>
      <c r="L26" s="89">
        <f>IFERROR(IF(OR(NOT(ISNUMBER(Data!L53)),NOT(ISNUMBER(Data!K53))),"-",(Data!L53-Data!K53)/ABS(Data!K53)),"-")</f>
        <v>0.15827569567315425</v>
      </c>
      <c r="M26" s="261"/>
      <c r="N26" s="266"/>
      <c r="O26" s="266"/>
      <c r="P26" s="266"/>
      <c r="Q26" s="266"/>
      <c r="R26" s="266"/>
      <c r="S26" s="266"/>
      <c r="T26" s="266"/>
      <c r="U26" s="266"/>
      <c r="V26" s="261"/>
      <c r="W26" s="469"/>
      <c r="X26" s="469"/>
      <c r="Y26" s="469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N27" s="2"/>
      <c r="O27" s="2"/>
      <c r="P27" s="2"/>
      <c r="Q27" s="2"/>
      <c r="R27" s="2"/>
      <c r="S27" s="2"/>
      <c r="T27" s="2"/>
      <c r="U27" s="2"/>
    </row>
    <row r="28" ht="19" customHeight="1" s="74">
      <c r="A28" s="226" t="inlineStr">
        <is>
          <t>PER SHARE METRICS</t>
        </is>
      </c>
    </row>
    <row r="29" ht="28" customHeight="1" s="74">
      <c r="A29" s="14" t="inlineStr">
        <is>
          <t>Period</t>
        </is>
      </c>
      <c r="B29" s="14">
        <f>Data!B13</f>
        <v>2016.0</v>
      </c>
      <c r="C29" s="14">
        <f>Data!C13</f>
        <v>2017.0</v>
      </c>
      <c r="D29" s="14">
        <f>Data!D13</f>
        <v>2018.0</v>
      </c>
      <c r="E29" s="14">
        <f>Data!E13</f>
        <v>2019.0</v>
      </c>
      <c r="F29" s="14">
        <f>Data!F13</f>
        <v>2020.0</v>
      </c>
      <c r="G29" s="14">
        <f>Data!G13</f>
        <v>2021.0</v>
      </c>
      <c r="H29" s="14">
        <f>Data!H13</f>
        <v>2022.0</v>
      </c>
      <c r="I29" s="14">
        <f>Data!I13</f>
        <v>2023.0</v>
      </c>
      <c r="J29" s="14">
        <f>Data!J13</f>
        <v>2024.0</v>
      </c>
      <c r="K29" s="14">
        <f>Data!K13</f>
        <v>2025.0</v>
      </c>
      <c r="L29" s="14">
        <f>Data!L13</f>
        <v>2026.0</v>
      </c>
      <c r="N29" s="267" t="inlineStr">
        <is>
          <t xml:space="preserve">Year -2
Q1</t>
        </is>
      </c>
      <c r="O29" s="267" t="inlineStr">
        <is>
          <t xml:space="preserve">Year -2
Q2</t>
        </is>
      </c>
      <c r="P29" s="267" t="inlineStr">
        <is>
          <t xml:space="preserve">Year -2
Q3</t>
        </is>
      </c>
      <c r="Q29" s="267" t="inlineStr">
        <is>
          <t xml:space="preserve">Year -2
Q4</t>
        </is>
      </c>
      <c r="R29" s="267" t="inlineStr">
        <is>
          <t xml:space="preserve">Year -1
Q1</t>
        </is>
      </c>
      <c r="S29" s="267" t="inlineStr">
        <is>
          <t xml:space="preserve">Year -1
Q2</t>
        </is>
      </c>
      <c r="T29" s="267" t="inlineStr">
        <is>
          <t xml:space="preserve">Year -1
Q3</t>
        </is>
      </c>
      <c r="U29" s="267" t="inlineStr">
        <is>
          <t xml:space="preserve">Year -1
Q4</t>
        </is>
      </c>
      <c r="V29" s="267" t="inlineStr">
        <is>
          <t xml:space="preserve">Current Year
Q1</t>
        </is>
      </c>
      <c r="W29" s="267" t="inlineStr">
        <is>
          <t xml:space="preserve">Current Year
Q2</t>
        </is>
      </c>
      <c r="X29" s="267" t="inlineStr">
        <is>
          <t xml:space="preserve">Current Year
Q3</t>
        </is>
      </c>
      <c r="Y29" s="267" t="inlineStr">
        <is>
          <t xml:space="preserve">Current Year
Q4</t>
        </is>
      </c>
    </row>
    <row r="30" ht="15" customHeight="1" s="74">
      <c r="A30" s="15" t="inlineStr">
        <is>
          <t>Book Value / Share</t>
        </is>
      </c>
      <c r="B30" s="21">
        <f>IFERROR(IF(OR(NOT(ISNUMBER(Data!B41)),NOT(ISNUMBER(Data!B28))),"-",Data!B41/Data!B28),"-")</f>
        <v>7.561235825145432</v>
      </c>
      <c r="C30" s="21">
        <f>IFERROR(IF(OR(NOT(ISNUMBER(Data!C41)),NOT(ISNUMBER(Data!C28))),"-",Data!C41/Data!C28),"-")</f>
        <v>10.711146687384055</v>
      </c>
      <c r="D30" s="21">
        <f>IFERROR(IF(OR(NOT(ISNUMBER(Data!D41)),NOT(ISNUMBER(Data!D28))),"-",Data!D41/Data!D28),"-")</f>
        <v>12.78045407147855</v>
      </c>
      <c r="E30" s="21">
        <f>IFERROR(IF(OR(NOT(ISNUMBER(Data!E41)),NOT(ISNUMBER(Data!E28))),"-",Data!E41/Data!E28),"-")</f>
        <v>20.135483870967743</v>
      </c>
      <c r="F30" s="21">
        <f>IFERROR(IF(OR(NOT(ISNUMBER(Data!F41)),NOT(ISNUMBER(Data!F28))),"-",Data!F41/Data!F28),"-")</f>
        <v>39.86470588235294</v>
      </c>
      <c r="G30" s="21">
        <f>IFERROR(IF(OR(NOT(ISNUMBER(Data!G41)),NOT(ISNUMBER(Data!G28))),"-",Data!G41/Data!G28),"-")</f>
        <v>44.616129032258065</v>
      </c>
      <c r="H30" s="21">
        <f>IFERROR(IF(OR(NOT(ISNUMBER(Data!H41)),NOT(ISNUMBER(Data!H28))),"-",Data!H41/Data!H28),"-")</f>
        <v>59.68275154004107</v>
      </c>
      <c r="I30" s="21">
        <f>IFERROR(IF(OR(NOT(ISNUMBER(Data!I41)),NOT(ISNUMBER(Data!I28))),"-",Data!I41/Data!I28),"-")</f>
        <v>58.5346038114343</v>
      </c>
      <c r="J30" s="21">
        <f>IFERROR(IF(OR(NOT(ISNUMBER(Data!J41)),NOT(ISNUMBER(Data!J28))),"-",Data!J41/Data!J28),"-")</f>
        <v>60.61585365853659</v>
      </c>
      <c r="K30" s="21">
        <f>IFERROR(IF(OR(NOT(ISNUMBER(Data!K41)),NOT(ISNUMBER(Data!K28))),"-",Data!K41/Data!K28),"-")</f>
        <v>62.80595482546201</v>
      </c>
      <c r="L30" s="21">
        <f>IFERROR(IF(OR(NOT(ISNUMBER(Data!L41)),NOT(ISNUMBER(Data!L28))),"-",Data!L41/Data!L28),"-")</f>
        <v>61.86401673640167</v>
      </c>
      <c r="M30" s="261"/>
      <c r="N30" s="247">
        <f>IFERROR(IF(OR(NOT(ISNUMBER(Data!N41)),NOT(ISNUMBER(Data!N28))),"-",Data!N41/Data!N28),"-")</f>
        <v>60.591878172588835</v>
      </c>
      <c r="O30" s="247">
        <f>IFERROR(IF(OR(NOT(ISNUMBER(Data!O41)),NOT(ISNUMBER(Data!O28))),"-",Data!O41/Data!O28),"-")</f>
        <v>59.2322713257965</v>
      </c>
      <c r="P30" s="247">
        <f>IFERROR(IF(OR(NOT(ISNUMBER(Data!P41)),NOT(ISNUMBER(Data!P28))),"-",Data!P41/Data!P28),"-")</f>
        <v>60.64766839378238</v>
      </c>
      <c r="Q30" s="247">
        <f>IFERROR(IF(OR(NOT(ISNUMBER(Data!Q41)),NOT(ISNUMBER(Data!Q28))),"-",Data!Q41/Data!Q28),"-")</f>
      </c>
      <c r="R30" s="247">
        <f>IFERROR(IF(OR(NOT(ISNUMBER(Data!R41)),NOT(ISNUMBER(Data!R28))),"-",Data!R41/Data!R28),"-")</f>
        <v>62.542268041237115</v>
      </c>
      <c r="S30" s="247">
        <f>IFERROR(IF(OR(NOT(ISNUMBER(Data!S41)),NOT(ISNUMBER(Data!S28))),"-",Data!S41/Data!S28),"-")</f>
        <v>63.75051975051975</v>
      </c>
      <c r="T30" s="247">
        <f>IFERROR(IF(OR(NOT(ISNUMBER(Data!T41)),NOT(ISNUMBER(Data!T28))),"-",Data!T41/Data!T28),"-")</f>
        <v>63.04726890756302</v>
      </c>
      <c r="U30" s="247">
        <f>IFERROR(IF(OR(NOT(ISNUMBER(Data!U41)),NOT(ISNUMBER(Data!U28))),"-",Data!U41/Data!U28),"-")</f>
      </c>
      <c r="V30" s="258">
        <f>IFERROR(IF(OR(NOT(ISNUMBER(Data!V41)),NOT(ISNUMBER(Data!V28))),"-",Data!V41/Data!V28),"-")</f>
        <v>39.30539609644087</v>
      </c>
      <c r="W30" s="463">
        <f>IFERROR(IF(OR(NOT(ISNUMBER(Data!W41)),NOT(ISNUMBER(Data!W28))),"-",Data!W41/Data!W28),"-")</f>
      </c>
      <c r="X30" s="463">
        <f>IFERROR(IF(OR(NOT(ISNUMBER(Data!X41)),NOT(ISNUMBER(Data!X28))),"-",Data!X41/Data!X28),"-")</f>
      </c>
      <c r="Y30" s="463">
        <f>IFERROR(IF(OR(NOT(ISNUMBER(Data!Y41)),NOT(ISNUMBER(Data!Y28))),"-",Data!Y41/Data!Y28),"-")</f>
      </c>
    </row>
    <row r="31" ht="15" customHeight="1" s="74">
      <c r="A31" s="17" t="inlineStr">
        <is>
          <t>FCF / Share</t>
        </is>
      </c>
      <c r="B31" s="22">
        <f>IFERROR(IF(OR(NOT(ISNUMBER(Data!B53)),NOT(ISNUMBER(Data!B28))),"-",Data!B53/Data!B28),"-")</f>
        <v>2.0971983550140783</v>
      </c>
      <c r="C31" s="22">
        <f>IFERROR(IF(OR(NOT(ISNUMBER(Data!C53)),NOT(ISNUMBER(Data!C28))),"-",Data!C53/Data!C28),"-")</f>
        <v>2.425305298214696</v>
      </c>
      <c r="D31" s="22">
        <f>IFERROR(IF(OR(NOT(ISNUMBER(Data!D53)),NOT(ISNUMBER(Data!D28))),"-",Data!D53/Data!D28),"-")</f>
        <v>3.0001960255813387</v>
      </c>
      <c r="E31" s="22">
        <f>IFERROR(IF(OR(NOT(ISNUMBER(Data!E53)),NOT(ISNUMBER(Data!E28))),"-",Data!E53/Data!E28),"-")</f>
        <v>3.616774193548387</v>
      </c>
      <c r="F31" s="22">
        <f>IFERROR(IF(OR(NOT(ISNUMBER(Data!F53)),NOT(ISNUMBER(Data!F28))),"-",Data!F53/Data!F28),"-")</f>
        <v>4.338823529411765</v>
      </c>
      <c r="G31" s="22">
        <f>IFERROR(IF(OR(NOT(ISNUMBER(Data!G53)),NOT(ISNUMBER(Data!G28))),"-",Data!G53/Data!G28),"-")</f>
        <v>4.398924731182795</v>
      </c>
      <c r="H31" s="22">
        <f>IFERROR(IF(OR(NOT(ISNUMBER(Data!H53)),NOT(ISNUMBER(Data!H28))),"-",Data!H53/Data!H28),"-")</f>
        <v>5.424024640657084</v>
      </c>
      <c r="I31" s="22">
        <f>IFERROR(IF(OR(NOT(ISNUMBER(Data!I53)),NOT(ISNUMBER(Data!I28))),"-",Data!I53/Data!I28),"-")</f>
        <v>6.331995987963892</v>
      </c>
      <c r="J31" s="22">
        <f>IFERROR(IF(OR(NOT(ISNUMBER(Data!J53)),NOT(ISNUMBER(Data!J28))),"-",Data!J53/Data!J28),"-")</f>
        <v>9.652439024390244</v>
      </c>
      <c r="K31" s="22">
        <f>IFERROR(IF(OR(NOT(ISNUMBER(Data!K53)),NOT(ISNUMBER(Data!K28))),"-",Data!K53/Data!K28),"-")</f>
        <v>12.765913757700206</v>
      </c>
      <c r="L31" s="22">
        <f>IFERROR(IF(OR(NOT(ISNUMBER(Data!L53)),NOT(ISNUMBER(Data!L28))),"-",Data!L53/Data!L28),"-")</f>
        <v>15.064853556485355</v>
      </c>
      <c r="M31" s="261"/>
      <c r="N31" s="248"/>
      <c r="O31" s="248"/>
      <c r="P31" s="248"/>
      <c r="Q31" s="248">
        <f>IFERROR(IF(OR(NOT(ISNUMBER(Data!N53)),NOT(ISNUMBER(Data!O53)),NOT(ISNUMBER(Data!P53)),NOT(ISNUMBER(Data!Q53)),NOT(ISNUMBER(Data!Q28))),"-",(Data!N53+Data!O53+Data!P53+Data!Q53)/Data!Q28),"-")</f>
      </c>
      <c r="R31" s="248">
        <f>IFERROR(IF(OR(NOT(ISNUMBER(Data!O53)),NOT(ISNUMBER(Data!P53)),NOT(ISNUMBER(Data!Q53)),NOT(ISNUMBER(Data!R53)),NOT(ISNUMBER(Data!R28))),"-",(Data!O53+Data!P53+Data!Q53+Data!R53)/Data!R28),"-")</f>
        <v>13.038144329896907</v>
      </c>
      <c r="S31" s="248">
        <f>IFERROR(IF(OR(NOT(ISNUMBER(Data!P53)),NOT(ISNUMBER(Data!Q53)),NOT(ISNUMBER(Data!R53)),NOT(ISNUMBER(Data!S53)),NOT(ISNUMBER(Data!S28))),"-",(Data!P53+Data!Q53+Data!R53+Data!S53)/Data!S28),"-")</f>
        <v>12.99064449064449</v>
      </c>
      <c r="T31" s="248">
        <f>IFERROR(IF(OR(NOT(ISNUMBER(Data!Q53)),NOT(ISNUMBER(Data!R53)),NOT(ISNUMBER(Data!S53)),NOT(ISNUMBER(Data!T53)),NOT(ISNUMBER(Data!T28))),"-",(Data!Q53+Data!R53+Data!S53+Data!T53)/Data!T28),"-")</f>
        <v>13.545168067226891</v>
      </c>
      <c r="U31" s="248">
        <f>IFERROR(IF(OR(NOT(ISNUMBER(Data!R53)),NOT(ISNUMBER(Data!S53)),NOT(ISNUMBER(Data!T53)),NOT(ISNUMBER(Data!U53)),NOT(ISNUMBER(Data!U28))),"-",(Data!R53+Data!S53+Data!T53+Data!U53)/Data!U28),"-")</f>
      </c>
      <c r="V31" s="256">
        <f>IFERROR(IF(OR(NOT(ISNUMBER(Data!S53)),NOT(ISNUMBER(Data!T53)),NOT(ISNUMBER(Data!U53)),NOT(ISNUMBER(Data!V53)),NOT(ISNUMBER(Data!V28))),"-",(Data!S53+Data!T53+Data!U53+Data!V53)/Data!V28),"-")</f>
        <v>16.832376578645235</v>
      </c>
      <c r="W31" s="463">
        <f>IFERROR(IF(OR(NOT(ISNUMBER(Data!T53)),NOT(ISNUMBER(Data!U53)),NOT(ISNUMBER(Data!V53)),NOT(ISNUMBER(Data!W53)),NOT(ISNUMBER(Data!W28))),"-",(Data!T53+Data!U53+Data!V53+Data!W53)/Data!W28),"-")</f>
      </c>
      <c r="X31" s="463">
        <f>IFERROR(IF(OR(NOT(ISNUMBER(Data!U53)),NOT(ISNUMBER(Data!V53)),NOT(ISNUMBER(Data!W53)),NOT(ISNUMBER(Data!X53)),NOT(ISNUMBER(Data!X28))),"-",(Data!U53+Data!V53+Data!W53+Data!X53)/Data!X28),"-")</f>
      </c>
      <c r="Y31" s="463">
        <f>IFERROR(IF(OR(NOT(ISNUMBER(Data!V53)),NOT(ISNUMBER(Data!W53)),NOT(ISNUMBER(Data!X53)),NOT(ISNUMBER(Data!Y53)),NOT(ISNUMBER(Data!Y28))),"-",(Data!V53+Data!W53+Data!X53+Data!Y53)/Data!Y28),"-")</f>
      </c>
    </row>
    <row r="32" ht="15" customHeight="1" s="74">
      <c r="A32" s="15" t="inlineStr">
        <is>
          <t>Revenue / Share</t>
        </is>
      </c>
      <c r="B32" s="21">
        <f>IFERROR(IF(OR(NOT(ISNUMBER(Data!B14)),NOT(ISNUMBER(Data!B28))),"-",Data!B14/Data!B28),"-")</f>
        <v>10.07669648619279</v>
      </c>
      <c r="C32" s="21">
        <f>IFERROR(IF(OR(NOT(ISNUMBER(Data!C14)),NOT(ISNUMBER(Data!C28))),"-",Data!C14/Data!C28),"-")</f>
        <v>11.984833273113907</v>
      </c>
      <c r="D32" s="21">
        <f>IFERROR(IF(OR(NOT(ISNUMBER(Data!D14)),NOT(ISNUMBER(Data!D28))),"-",Data!D14/Data!D28),"-")</f>
        <v>14.266322532868319</v>
      </c>
      <c r="E32" s="21">
        <f>IFERROR(IF(OR(NOT(ISNUMBER(Data!E14)),NOT(ISNUMBER(Data!E28))),"-",Data!E14/Data!E28),"-")</f>
        <v>17.13806451612903</v>
      </c>
      <c r="F32" s="21">
        <f>IFERROR(IF(OR(NOT(ISNUMBER(Data!F14)),NOT(ISNUMBER(Data!F28))),"-",Data!F14/Data!F28),"-")</f>
        <v>20.11529411764706</v>
      </c>
      <c r="G32" s="21">
        <f>IFERROR(IF(OR(NOT(ISNUMBER(Data!G14)),NOT(ISNUMBER(Data!G28))),"-",Data!G14/Data!G28),"-")</f>
        <v>22.851612903225806</v>
      </c>
      <c r="H32" s="21">
        <f>IFERROR(IF(OR(NOT(ISNUMBER(Data!H14)),NOT(ISNUMBER(Data!H28))),"-",Data!H14/Data!H28),"-")</f>
        <v>27.19917864476386</v>
      </c>
      <c r="I32" s="21">
        <f>IFERROR(IF(OR(NOT(ISNUMBER(Data!I14)),NOT(ISNUMBER(Data!I28))),"-",Data!I14/Data!I28),"-")</f>
        <v>31.446339017051155</v>
      </c>
      <c r="J32" s="21">
        <f>IFERROR(IF(OR(NOT(ISNUMBER(Data!J14)),NOT(ISNUMBER(Data!J28))),"-",Data!J14/Data!J28),"-")</f>
        <v>35.423780487804876</v>
      </c>
      <c r="K32" s="21">
        <f>IFERROR(IF(OR(NOT(ISNUMBER(Data!K14)),NOT(ISNUMBER(Data!K28))),"-",Data!K14/Data!K28),"-")</f>
        <v>38.90657084188912</v>
      </c>
      <c r="L32" s="21">
        <f>IFERROR(IF(OR(NOT(ISNUMBER(Data!L14)),NOT(ISNUMBER(Data!L28))),"-",Data!L14/Data!L28),"-")</f>
        <v>43.43619246861925</v>
      </c>
      <c r="M32" s="261"/>
      <c r="N32" s="247"/>
      <c r="O32" s="247"/>
      <c r="P32" s="247"/>
      <c r="Q32" s="247">
        <f>IFERROR(IF(OR(NOT(ISNUMBER(Data!N14)),NOT(ISNUMBER(Data!O14)),NOT(ISNUMBER(Data!P14)),NOT(ISNUMBER(Data!Q14)),NOT(ISNUMBER(Data!Q28))),"-",(Data!N14+Data!O14+Data!P14+Data!Q14)/Data!Q28),"-")</f>
      </c>
      <c r="R32" s="247">
        <f>IFERROR(IF(OR(NOT(ISNUMBER(Data!O14)),NOT(ISNUMBER(Data!P14)),NOT(ISNUMBER(Data!Q14)),NOT(ISNUMBER(Data!R14)),NOT(ISNUMBER(Data!R28))),"-",(Data!O14+Data!P14+Data!Q14+Data!R14)/Data!R28),"-")</f>
        <v>39.784536082474226</v>
      </c>
      <c r="S32" s="247">
        <f>IFERROR(IF(OR(NOT(ISNUMBER(Data!P14)),NOT(ISNUMBER(Data!Q14)),NOT(ISNUMBER(Data!R14)),NOT(ISNUMBER(Data!S14)),NOT(ISNUMBER(Data!S28))),"-",(Data!P14+Data!Q14+Data!R14+Data!S14)/Data!S28),"-")</f>
        <v>41.062370062370064</v>
      </c>
      <c r="T32" s="247">
        <f>IFERROR(IF(OR(NOT(ISNUMBER(Data!Q14)),NOT(ISNUMBER(Data!R14)),NOT(ISNUMBER(Data!S14)),NOT(ISNUMBER(Data!T14)),NOT(ISNUMBER(Data!T28))),"-",(Data!Q14+Data!R14+Data!S14+Data!T14)/Data!T28),"-")</f>
        <v>42.34978991596638</v>
      </c>
      <c r="U32" s="247">
        <f>IFERROR(IF(OR(NOT(ISNUMBER(Data!R14)),NOT(ISNUMBER(Data!S14)),NOT(ISNUMBER(Data!T14)),NOT(ISNUMBER(Data!U14)),NOT(ISNUMBER(Data!U28))),"-",(Data!R14+Data!S14+Data!T14+Data!U14)/Data!U28),"-")</f>
      </c>
      <c r="V32" s="258">
        <f>IFERROR(IF(OR(NOT(ISNUMBER(Data!S14)),NOT(ISNUMBER(Data!T14)),NOT(ISNUMBER(Data!U14)),NOT(ISNUMBER(Data!V14)),NOT(ISNUMBER(Data!V28))),"-",(Data!S14+Data!T14+Data!U14+Data!V14)/Data!V28),"-")</f>
        <v>49.172215843857636</v>
      </c>
      <c r="W32" s="463">
        <f>IFERROR(IF(OR(NOT(ISNUMBER(Data!T14)),NOT(ISNUMBER(Data!U14)),NOT(ISNUMBER(Data!V14)),NOT(ISNUMBER(Data!W14)),NOT(ISNUMBER(Data!W28))),"-",(Data!T14+Data!U14+Data!V14+Data!W14)/Data!W28),"-")</f>
      </c>
      <c r="X32" s="463">
        <f>IFERROR(IF(OR(NOT(ISNUMBER(Data!U14)),NOT(ISNUMBER(Data!V14)),NOT(ISNUMBER(Data!W14)),NOT(ISNUMBER(Data!X14)),NOT(ISNUMBER(Data!X28))),"-",(Data!U14+Data!V14+Data!W14+Data!X14)/Data!X28),"-")</f>
      </c>
      <c r="Y32" s="463">
        <f>IFERROR(IF(OR(NOT(ISNUMBER(Data!V14)),NOT(ISNUMBER(Data!W14)),NOT(ISNUMBER(Data!X14)),NOT(ISNUMBER(Data!Y14)),NOT(ISNUMBER(Data!Y28))),"-",(Data!V14+Data!W14+Data!X14+Data!Y14)/Data!Y28),"-")</f>
      </c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N33" s="2"/>
      <c r="O33" s="2"/>
      <c r="P33" s="2"/>
      <c r="Q33" s="2"/>
      <c r="R33" s="2"/>
      <c r="S33" s="2"/>
      <c r="T33" s="2"/>
      <c r="U33" s="2"/>
    </row>
    <row r="34" ht="19" customHeight="1" s="74">
      <c r="A34" s="226" t="inlineStr">
        <is>
          <t>SOLVENCY &amp; CAPITAL STRUCTURE</t>
        </is>
      </c>
    </row>
    <row r="35" ht="15" customHeight="1" s="74">
      <c r="A35" s="14" t="inlineStr">
        <is>
          <t>Period</t>
        </is>
      </c>
      <c r="B35" s="14">
        <f>Data!B13</f>
        <v>2016.0</v>
      </c>
      <c r="C35" s="14">
        <f>Data!C13</f>
        <v>2017.0</v>
      </c>
      <c r="D35" s="14">
        <f>Data!D13</f>
        <v>2018.0</v>
      </c>
      <c r="E35" s="14">
        <f>Data!E13</f>
        <v>2019.0</v>
      </c>
      <c r="F35" s="14">
        <f>Data!F13</f>
        <v>2020.0</v>
      </c>
      <c r="G35" s="14">
        <f>Data!G13</f>
        <v>2021.0</v>
      </c>
      <c r="H35" s="14">
        <f>Data!H13</f>
        <v>2022.0</v>
      </c>
      <c r="I35" s="14">
        <f>Data!I13</f>
        <v>2023.0</v>
      </c>
      <c r="J35" s="14">
        <f>Data!J13</f>
        <v>2024.0</v>
      </c>
      <c r="K35" s="14">
        <f>Data!K13</f>
        <v>2025.0</v>
      </c>
      <c r="L35" s="14">
        <f>Data!L13</f>
        <v>2026.0</v>
      </c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</row>
    <row r="36" ht="15" customHeight="1" s="74">
      <c r="A36" s="15" t="inlineStr">
        <is>
          <t>Primary Structure Margin ($M)</t>
        </is>
      </c>
      <c r="B36" s="23">
        <f>IFERROR(Data!B41-(Data!B39-Data!B37),"-")</f>
        <v>5002.869</v>
      </c>
      <c r="C36" s="23">
        <f>IFERROR(Data!C41-(Data!C39-Data!C37),"-")</f>
        <v>-4087.9689999999973</v>
      </c>
      <c r="D36" s="23">
        <f>IFERROR(Data!D41-(Data!D39-Data!D37),"-")</f>
        <v>-2330.9350000000013</v>
      </c>
      <c r="E36" s="23">
        <f>IFERROR(Data!E41-(Data!E39-Data!E37),"-")</f>
        <v>-4449.0</v>
      </c>
      <c r="F36" s="23">
        <f>IFERROR(Data!F41-(Data!F39-Data!F37),"-")</f>
        <v>-5278.0</v>
      </c>
      <c r="G36" s="23">
        <f>IFERROR(Data!G41-(Data!G39-Data!G37),"-")</f>
        <v>-2919.0</v>
      </c>
      <c r="H36" s="23">
        <f>IFERROR(Data!H41-(Data!H39-Data!H37),"-")</f>
        <v>-14228.0</v>
      </c>
      <c r="I36" s="23">
        <f>IFERROR(Data!I41-(Data!I39-Data!I37),"-")</f>
        <v>-14095.0</v>
      </c>
      <c r="J36" s="23">
        <f>IFERROR(Data!J41-(Data!J39-Data!J37),"-")</f>
        <v>-11103.0</v>
      </c>
      <c r="K36" s="23">
        <f>IFERROR(Data!K41-(Data!K39-Data!K37),"-")</f>
        <v>-12028.0</v>
      </c>
      <c r="L36" s="23">
        <f>IFERROR(Data!L41-(Data!L39-Data!L37),"-")</f>
        <v>-24941.0</v>
      </c>
      <c r="M36" s="261"/>
      <c r="N36" s="268"/>
      <c r="O36" s="268"/>
      <c r="P36" s="268"/>
      <c r="Q36" s="268"/>
      <c r="R36" s="268"/>
      <c r="S36" s="268"/>
      <c r="T36" s="268"/>
      <c r="U36" s="268"/>
      <c r="V36" s="261"/>
      <c r="W36" s="469"/>
      <c r="X36" s="469"/>
      <c r="Y36" s="469"/>
    </row>
    <row r="37" ht="15" customHeight="1" s="74">
      <c r="A37" s="17" t="inlineStr">
        <is>
          <t>Primary Structure Ratio</t>
        </is>
      </c>
      <c r="B37" s="93">
        <f>IFERROR(Data!B41/(Data!B39-Data!B37),"-")</f>
      </c>
      <c r="C37" s="93">
        <f>IFERROR(Data!C41/(Data!C39-Data!C37),"-")</f>
        <v>0.6472268610822695</v>
      </c>
      <c r="D37" s="93">
        <f>IFERROR(Data!D41/(Data!D39-Data!D37),"-")</f>
        <v>0.8011051048468137</v>
      </c>
      <c r="E37" s="93">
        <f>IFERROR(Data!E41/(Data!E39-Data!E37),"-")</f>
        <v>0.7781489977061933</v>
      </c>
      <c r="F37" s="93">
        <f>IFERROR(Data!F41/(Data!F39-Data!F37),"-")</f>
        <v>0.8652299364195797</v>
      </c>
      <c r="G37" s="93">
        <f>IFERROR(Data!G41/(Data!G39-Data!G37),"-")</f>
        <v>0.9342745203998919</v>
      </c>
      <c r="H37" s="93">
        <f>IFERROR(Data!H41/(Data!H39-Data!H37),"-")</f>
        <v>0.8033693113503504</v>
      </c>
      <c r="I37" s="93">
        <f>IFERROR(Data!I41/(Data!I39-Data!I37),"-")</f>
        <v>0.8054627763822563</v>
      </c>
      <c r="J37" s="93">
        <f>IFERROR(Data!J41/(Data!J39-Data!J37),"-")</f>
        <v>0.8430649196455073</v>
      </c>
      <c r="K37" s="93">
        <f>IFERROR(Data!K41/(Data!K39-Data!K37),"-")</f>
        <v>0.8356853048455622</v>
      </c>
      <c r="L37" s="93">
        <f>IFERROR(Data!L41/(Data!L39-Data!L37),"-")</f>
        <v>0.703376425674631</v>
      </c>
      <c r="M37" s="261"/>
      <c r="N37" s="269"/>
      <c r="O37" s="269"/>
      <c r="P37" s="269"/>
      <c r="Q37" s="269"/>
      <c r="R37" s="269"/>
      <c r="S37" s="269"/>
      <c r="T37" s="269"/>
      <c r="U37" s="269"/>
      <c r="V37" s="261"/>
      <c r="W37" s="469"/>
      <c r="X37" s="469"/>
      <c r="Y37" s="469"/>
    </row>
    <row r="38" ht="15" customHeight="1" s="74">
      <c r="A38" s="15" t="inlineStr">
        <is>
          <t>Secondary Structure Margin ($M)</t>
        </is>
      </c>
      <c r="B38" s="23">
        <f>IFERROR((Data!B41+Data!B34)-(Data!B39-Data!B37),"-")</f>
        <v>5002.869</v>
      </c>
      <c r="C38" s="23">
        <f>IFERROR((Data!C41+Data!C34)-(Data!C39-Data!C37),"-")</f>
        <v>-2079.5779999999977</v>
      </c>
      <c r="D38" s="23">
        <f>IFERROR((Data!D41+Data!D34)-(Data!D39-Data!D37),"-")</f>
        <v>-1636.1540000000023</v>
      </c>
      <c r="E38" s="23">
        <f>IFERROR((Data!E41+Data!E34)-(Data!E39-Data!E37),"-")</f>
        <v>-1276.0</v>
      </c>
      <c r="F38" s="23">
        <f>IFERROR((Data!F41+Data!F34)-(Data!F39-Data!F37),"-")</f>
        <v>-2605.0</v>
      </c>
      <c r="G38" s="23">
        <f>IFERROR((Data!G41+Data!G34)-(Data!G39-Data!G37),"-")</f>
        <v>-246.0</v>
      </c>
      <c r="H38" s="23">
        <f>IFERROR((Data!H41+Data!H34)-(Data!H39-Data!H37),"-")</f>
        <v>-3636.0</v>
      </c>
      <c r="I38" s="23">
        <f>IFERROR((Data!I41+Data!I34)-(Data!I39-Data!I37),"-")</f>
        <v>-4676.0</v>
      </c>
      <c r="J38" s="23">
        <f>IFERROR((Data!J41+Data!J34)-(Data!J39-Data!J37),"-")</f>
        <v>-2676.0</v>
      </c>
      <c r="K38" s="23">
        <f>IFERROR((Data!K41+Data!K34)-(Data!K39-Data!K37),"-")</f>
        <v>-3595.0</v>
      </c>
      <c r="L38" s="23">
        <f>IFERROR((Data!L41+Data!L34)-(Data!L39-Data!L37),"-")</f>
        <v>-14502.0</v>
      </c>
      <c r="M38" s="261"/>
      <c r="N38" s="268"/>
      <c r="O38" s="268"/>
      <c r="P38" s="268"/>
      <c r="Q38" s="268"/>
      <c r="R38" s="268"/>
      <c r="S38" s="268"/>
      <c r="T38" s="268"/>
      <c r="U38" s="268"/>
      <c r="V38" s="261"/>
      <c r="W38" s="469"/>
      <c r="X38" s="469"/>
      <c r="Y38" s="469"/>
    </row>
    <row r="39" ht="15" customHeight="1" s="74">
      <c r="A39" s="17" t="inlineStr">
        <is>
          <t>Secondary Structure Ratio</t>
        </is>
      </c>
      <c r="B39" s="93">
        <f>IFERROR((Data!B41+Data!B34)/(Data!B39-Data!B37),"-")</f>
      </c>
      <c r="C39" s="93">
        <f>IFERROR((Data!C41+Data!C34)/(Data!C39-Data!C37),"-")</f>
        <v>0.8205418733155129</v>
      </c>
      <c r="D39" s="93">
        <f>IFERROR((Data!D41+Data!D34)/(Data!D39-Data!D37),"-")</f>
        <v>0.8603896383706682</v>
      </c>
      <c r="E39" s="93">
        <f>IFERROR((Data!E41+Data!E34)/(Data!E39-Data!E37),"-")</f>
        <v>0.9363717961503939</v>
      </c>
      <c r="F39" s="93">
        <f>IFERROR((Data!F41+Data!F34)/(Data!F39-Data!F37),"-")</f>
        <v>0.9334831345913235</v>
      </c>
      <c r="G39" s="93">
        <f>IFERROR((Data!G41+Data!G34)/(Data!G39-Data!G37),"-")</f>
        <v>0.9944609564982437</v>
      </c>
      <c r="H39" s="93">
        <f>IFERROR((Data!H41+Data!H34)/(Data!H39-Data!H37),"-")</f>
        <v>0.9497505493442419</v>
      </c>
      <c r="I39" s="93">
        <f>IFERROR((Data!I41+Data!I34)/(Data!I39-Data!I37),"-")</f>
        <v>0.9354625003450465</v>
      </c>
      <c r="J39" s="93">
        <f>IFERROR((Data!J41+Data!J34)/(Data!J39-Data!J37),"-")</f>
        <v>0.9621761438324217</v>
      </c>
      <c r="K39" s="93">
        <f>IFERROR((Data!K41+Data!K34)/(Data!K39-Data!K37),"-")</f>
        <v>0.9508886490621713</v>
      </c>
      <c r="L39" s="93">
        <f>IFERROR((Data!L41+Data!L34)/(Data!L39-Data!L37),"-")</f>
        <v>0.8275275620517821</v>
      </c>
      <c r="M39" s="261"/>
      <c r="N39" s="269"/>
      <c r="O39" s="269"/>
      <c r="P39" s="269"/>
      <c r="Q39" s="269"/>
      <c r="R39" s="269"/>
      <c r="S39" s="269"/>
      <c r="T39" s="269"/>
      <c r="U39" s="269"/>
      <c r="V39" s="261"/>
      <c r="W39" s="469"/>
      <c r="X39" s="469"/>
      <c r="Y39" s="469"/>
    </row>
    <row r="40" ht="15" customHeight="1" s="74">
      <c r="A40" s="15" t="inlineStr">
        <is>
          <t>Degree of Asset Rigidity</t>
        </is>
      </c>
      <c r="B40" s="84">
        <f>IFERROR((Data!B39-Data!B37)/Data!B39,"-")</f>
      </c>
      <c r="C40" s="84">
        <f>IFERROR((Data!C39-Data!C37)/Data!C39,"-")</f>
        <v>0.6589790583672159</v>
      </c>
      <c r="D40" s="84">
        <f>IFERROR((Data!D39-Data!D37)/Data!D39,"-")</f>
        <v>0.5578077794355225</v>
      </c>
      <c r="E40" s="84">
        <f>IFERROR((Data!E39-Data!E37)/Data!E39,"-")</f>
        <v>0.6524384292546442</v>
      </c>
      <c r="F40" s="84">
        <f>IFERROR((Data!F39-Data!F37)/Data!F39,"-")</f>
        <v>0.7104270217320321</v>
      </c>
      <c r="G40" s="84">
        <f>IFERROR((Data!G39-Data!G37)/Data!G39,"-")</f>
        <v>0.6698541500128203</v>
      </c>
      <c r="H40" s="84">
        <f>IFERROR((Data!H39-Data!H37)/Data!H39,"-")</f>
        <v>0.7600016805133969</v>
      </c>
      <c r="I40" s="84">
        <f>IFERROR((Data!I39-Data!I37)/Data!I39,"-")</f>
        <v>0.7329765602079941</v>
      </c>
      <c r="J40" s="84">
        <f>IFERROR((Data!J39-Data!J37)/Data!J39,"-")</f>
        <v>0.7087444777255743</v>
      </c>
      <c r="K40" s="84">
        <f>IFERROR((Data!K39-Data!K37)/Data!K39,"-")</f>
        <v>0.7111864604383646</v>
      </c>
      <c r="L40" s="84">
        <f>IFERROR((Data!L39-Data!L37)/Data!L39,"-")</f>
        <v>0.7487021949156315</v>
      </c>
      <c r="M40" s="261"/>
      <c r="N40" s="270"/>
      <c r="O40" s="270"/>
      <c r="P40" s="270"/>
      <c r="Q40" s="270"/>
      <c r="R40" s="270"/>
      <c r="S40" s="270"/>
      <c r="T40" s="270"/>
      <c r="U40" s="270"/>
      <c r="V40" s="261"/>
      <c r="W40" s="469"/>
      <c r="X40" s="469"/>
      <c r="Y40" s="469"/>
    </row>
    <row r="41" ht="15" customHeight="1" s="74">
      <c r="A41" s="17" t="inlineStr">
        <is>
          <t>Financial Autonomy (Equity)</t>
        </is>
      </c>
      <c r="B41" s="81">
        <f>IFERROR(Data!B41/Data!B39,"-")</f>
      </c>
      <c r="C41" s="81">
        <f>IFERROR(Data!C41/Data!C39,"-")</f>
        <v>0.4265089474659628</v>
      </c>
      <c r="D41" s="81">
        <f>IFERROR(Data!D41/Data!D39,"-")</f>
        <v>0.44686265962906263</v>
      </c>
      <c r="E41" s="81">
        <f>IFERROR(Data!E41/Data!E39,"-")</f>
        <v>0.5076943097895045</v>
      </c>
      <c r="F41" s="81">
        <f>IFERROR(Data!F41/Data!F39,"-")</f>
        <v>0.6146827268439575</v>
      </c>
      <c r="G41" s="81">
        <f>IFERROR(Data!G41/Data!G39,"-")</f>
        <v>0.625827664741105</v>
      </c>
      <c r="H41" s="81">
        <f>IFERROR(Data!H41/Data!H39,"-")</f>
        <v>0.6105620266991566</v>
      </c>
      <c r="I41" s="81">
        <f>IFERROR(Data!I41/Data!I39,"-")</f>
        <v>0.5903853352082469</v>
      </c>
      <c r="J41" s="81">
        <f>IFERROR(Data!J41/Data!J39,"-")</f>
        <v>0.5975176061629084</v>
      </c>
      <c r="K41" s="81">
        <f>IFERROR(Data!K41/Data!K39,"-")</f>
        <v>0.5943280739934712</v>
      </c>
      <c r="L41" s="81">
        <f>IFERROR(Data!L41/Data!L39,"-")</f>
        <v>0.5266194737545078</v>
      </c>
      <c r="M41" s="261"/>
      <c r="N41" s="270"/>
      <c r="O41" s="270"/>
      <c r="P41" s="270"/>
      <c r="Q41" s="270"/>
      <c r="R41" s="270"/>
      <c r="S41" s="270"/>
      <c r="T41" s="270"/>
      <c r="U41" s="270"/>
      <c r="V41" s="261"/>
      <c r="W41" s="469"/>
      <c r="X41" s="469"/>
      <c r="Y41" s="469"/>
    </row>
    <row r="42" ht="15" customHeight="1" s="74">
      <c r="A42" s="15" t="inlineStr">
        <is>
          <t>Financial Autonomy (LT Debt)</t>
        </is>
      </c>
      <c r="B42" s="84">
        <f>IFERROR((Data!B40-Data!B38)/Data!B39,"-")</f>
      </c>
      <c r="C42" s="84">
        <f>IFERROR((Data!C40-Data!C38)/Data!C39,"-")</f>
        <v>0.15862054101686998</v>
      </c>
      <c r="D42" s="84">
        <f>IFERROR((Data!D40-Data!D38)/Data!D39,"-")</f>
        <v>0.07082032472271753</v>
      </c>
      <c r="E42" s="84">
        <f>IFERROR((Data!E40-Data!E38)/Data!E39,"-")</f>
        <v>0.12613462602075673</v>
      </c>
      <c r="F42" s="84">
        <f>IFERROR((Data!F40-Data!F38)/Data!F39,"-")</f>
        <v>0.11602510612052389</v>
      </c>
      <c r="G42" s="84">
        <f>IFERROR((Data!G40-Data!G38)/Data!G39,"-")</f>
        <v>0.10678571967240313</v>
      </c>
      <c r="H42" s="84">
        <f>IFERROR((Data!H40-Data!H38)/Data!H39,"-")</f>
        <v>0.1605940614857839</v>
      </c>
      <c r="I42" s="84">
        <f>IFERROR((Data!I40-Data!I38)/Data!I39,"-")</f>
        <v>0.1476899108741616</v>
      </c>
      <c r="J42" s="84">
        <f>IFERROR((Data!J40-Data!J38)/Data!J39,"-")</f>
        <v>0.13570018933512318</v>
      </c>
      <c r="K42" s="84">
        <f>IFERROR((Data!K40-Data!K38)/Data!K39,"-")</f>
        <v>0.13383141613555105</v>
      </c>
      <c r="L42" s="84">
        <f>IFERROR((Data!L40-Data!L38)/Data!L39,"-")</f>
        <v>0.1428698633186412</v>
      </c>
      <c r="M42" s="261"/>
      <c r="N42" s="270"/>
      <c r="O42" s="270"/>
      <c r="P42" s="270"/>
      <c r="Q42" s="270"/>
      <c r="R42" s="270"/>
      <c r="S42" s="270"/>
      <c r="T42" s="270"/>
      <c r="U42" s="270"/>
      <c r="V42" s="261"/>
      <c r="W42" s="469"/>
      <c r="X42" s="469"/>
      <c r="Y42" s="469"/>
    </row>
    <row r="43" ht="15" customHeight="1" s="74">
      <c r="A43" s="17" t="inlineStr">
        <is>
          <t>Financial Autonomy (ST Debt)</t>
        </is>
      </c>
      <c r="B43" s="81">
        <f>IFERROR(Data!B38/Data!B39,"-")</f>
      </c>
      <c r="C43" s="81">
        <f>IFERROR(Data!C38/Data!C39,"-")</f>
        <v>0.41487051151716736</v>
      </c>
      <c r="D43" s="81">
        <f>IFERROR(Data!D38/Data!D39,"-")</f>
        <v>0.48213295870184786</v>
      </c>
      <c r="E43" s="81">
        <f>IFERROR(Data!E38/Data!E39,"-")</f>
        <v>0.36617106418973877</v>
      </c>
      <c r="F43" s="81">
        <f>IFERROR(Data!F38/Data!F39,"-")</f>
        <v>0.2692921670355186</v>
      </c>
      <c r="G43" s="81">
        <f>IFERROR(Data!G38/Data!G39,"-")</f>
        <v>0.2673866155864919</v>
      </c>
      <c r="H43" s="81">
        <f>IFERROR(Data!H38/Data!H39,"-")</f>
        <v>0.2288439118150595</v>
      </c>
      <c r="I43" s="81">
        <f>IFERROR(Data!I38/Data!I39,"-")</f>
        <v>0.26192475391759146</v>
      </c>
      <c r="J43" s="81">
        <f>IFERROR(Data!J38/Data!J39,"-")</f>
        <v>0.2667822045019685</v>
      </c>
      <c r="K43" s="81">
        <f>IFERROR(Data!K38/Data!K39,"-")</f>
        <v>0.2718405098709778</v>
      </c>
      <c r="L43" s="81">
        <f>IFERROR(Data!L38/Data!L39,"-")</f>
        <v>0.330510662926851</v>
      </c>
      <c r="M43" s="261"/>
      <c r="N43" s="270"/>
      <c r="O43" s="270"/>
      <c r="P43" s="270"/>
      <c r="Q43" s="270"/>
      <c r="R43" s="270"/>
      <c r="S43" s="270"/>
      <c r="T43" s="270"/>
      <c r="U43" s="270"/>
      <c r="V43" s="261"/>
      <c r="W43" s="469"/>
      <c r="X43" s="469"/>
      <c r="Y43" s="469"/>
    </row>
    <row r="44" ht="15" customHeight="1" s="74">
      <c r="A44" s="15" t="inlineStr">
        <is>
          <t>Debt Index</t>
        </is>
      </c>
      <c r="B44" s="84">
        <f>IFERROR(Data!B40/Data!B39,"-")</f>
      </c>
      <c r="C44" s="84">
        <f>IFERROR(Data!C40/Data!C39,"-")</f>
        <v>0.5734910525340373</v>
      </c>
      <c r="D44" s="84">
        <f>IFERROR(Data!D40/Data!D39,"-")</f>
        <v>0.5529532834245654</v>
      </c>
      <c r="E44" s="84">
        <f>IFERROR(Data!E40/Data!E39,"-")</f>
        <v>0.4923056902104955</v>
      </c>
      <c r="F44" s="84">
        <f>IFERROR(Data!F40/Data!F39,"-")</f>
        <v>0.38531727315604253</v>
      </c>
      <c r="G44" s="84">
        <f>IFERROR(Data!G40/Data!G39,"-")</f>
        <v>0.37417233525889504</v>
      </c>
      <c r="H44" s="84">
        <f>IFERROR(Data!H40/Data!H39,"-")</f>
        <v>0.3894379733008434</v>
      </c>
      <c r="I44" s="84">
        <f>IFERROR(Data!I40/Data!I39,"-")</f>
        <v>0.40961466479175307</v>
      </c>
      <c r="J44" s="84">
        <f>IFERROR(Data!J40/Data!J39,"-")</f>
        <v>0.40248239383709167</v>
      </c>
      <c r="K44" s="84">
        <f>IFERROR(Data!K40/Data!K39,"-")</f>
        <v>0.40567192600652885</v>
      </c>
      <c r="L44" s="84">
        <f>IFERROR(Data!L40/Data!L39,"-")</f>
        <v>0.4733805262454922</v>
      </c>
      <c r="M44" s="261"/>
      <c r="N44" s="270"/>
      <c r="O44" s="270"/>
      <c r="P44" s="270"/>
      <c r="Q44" s="270"/>
      <c r="R44" s="270"/>
      <c r="S44" s="270"/>
      <c r="T44" s="270"/>
      <c r="U44" s="270"/>
      <c r="V44" s="261"/>
      <c r="W44" s="469"/>
      <c r="X44" s="469"/>
      <c r="Y44" s="469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N45" s="2"/>
      <c r="O45" s="2"/>
      <c r="P45" s="2"/>
      <c r="Q45" s="2"/>
      <c r="R45" s="2"/>
      <c r="S45" s="2"/>
      <c r="T45" s="2"/>
      <c r="U45" s="2"/>
    </row>
    <row r="46" ht="19" customHeight="1" s="74">
      <c r="A46" s="226" t="inlineStr">
        <is>
          <t>LIQUIDITY RATIOS</t>
        </is>
      </c>
    </row>
    <row r="47" ht="28" customHeight="1" s="74">
      <c r="A47" s="14" t="inlineStr">
        <is>
          <t>Period</t>
        </is>
      </c>
      <c r="B47" s="14">
        <f>Data!B13</f>
        <v>2016.0</v>
      </c>
      <c r="C47" s="14">
        <f>Data!C13</f>
        <v>2017.0</v>
      </c>
      <c r="D47" s="14">
        <f>Data!D13</f>
        <v>2018.0</v>
      </c>
      <c r="E47" s="14">
        <f>Data!E13</f>
        <v>2019.0</v>
      </c>
      <c r="F47" s="14">
        <f>Data!F13</f>
        <v>2020.0</v>
      </c>
      <c r="G47" s="14">
        <f>Data!G13</f>
        <v>2021.0</v>
      </c>
      <c r="H47" s="14">
        <f>Data!H13</f>
        <v>2022.0</v>
      </c>
      <c r="I47" s="14">
        <f>Data!I13</f>
        <v>2023.0</v>
      </c>
      <c r="J47" s="14">
        <f>Data!J13</f>
        <v>2024.0</v>
      </c>
      <c r="K47" s="14">
        <f>Data!K13</f>
        <v>2025.0</v>
      </c>
      <c r="L47" s="14">
        <f>Data!L13</f>
        <v>2026.0</v>
      </c>
      <c r="N47" s="267" t="inlineStr">
        <is>
          <t xml:space="preserve">Year -2
Q1</t>
        </is>
      </c>
      <c r="O47" s="267" t="inlineStr">
        <is>
          <t xml:space="preserve">Year -2
Q2</t>
        </is>
      </c>
      <c r="P47" s="267" t="inlineStr">
        <is>
          <t xml:space="preserve">Year -2
Q3</t>
        </is>
      </c>
      <c r="Q47" s="267" t="inlineStr">
        <is>
          <t xml:space="preserve">Year -2
Q4</t>
        </is>
      </c>
      <c r="R47" s="267" t="inlineStr">
        <is>
          <t xml:space="preserve">Year -1
Q1</t>
        </is>
      </c>
      <c r="S47" s="267" t="inlineStr">
        <is>
          <t xml:space="preserve">Year -1
Q2</t>
        </is>
      </c>
      <c r="T47" s="267" t="inlineStr">
        <is>
          <t xml:space="preserve">Year -1
Q3</t>
        </is>
      </c>
      <c r="U47" s="267" t="inlineStr">
        <is>
          <t xml:space="preserve">Year -1
Q4</t>
        </is>
      </c>
      <c r="V47" s="267" t="inlineStr">
        <is>
          <t xml:space="preserve">Current Year
Q1</t>
        </is>
      </c>
      <c r="W47" s="267" t="inlineStr">
        <is>
          <t xml:space="preserve">Current Year
Q2</t>
        </is>
      </c>
      <c r="X47" s="267" t="inlineStr">
        <is>
          <t xml:space="preserve">Current Year
Q3</t>
        </is>
      </c>
      <c r="Y47" s="267" t="inlineStr">
        <is>
          <t xml:space="preserve">Current Year
Q4</t>
        </is>
      </c>
    </row>
    <row r="48" ht="15" customHeight="1" s="74">
      <c r="A48" s="15" t="inlineStr">
        <is>
          <t>Working Capital ($M)</t>
        </is>
      </c>
      <c r="B48" s="23">
        <f>IFERROR(Data!B37-Data!B38,"-")</f>
        <v>0.0</v>
      </c>
      <c r="C48" s="23">
        <f>IFERROR(Data!C37-Data!C38,"-")</f>
        <v>-1298.6390000000001</v>
      </c>
      <c r="D48" s="23">
        <f>IFERROR(Data!D37-Data!D38,"-")</f>
        <v>-839.1470000000008</v>
      </c>
      <c r="E48" s="23">
        <f>IFERROR(Data!E37-Data!E38,"-")</f>
        <v>-572.0</v>
      </c>
      <c r="F48" s="23">
        <f>IFERROR(Data!F37-Data!F38,"-")</f>
        <v>1118.0</v>
      </c>
      <c r="G48" s="23">
        <f>IFERROR(Data!G37-Data!G38,"-")</f>
        <v>4161.0</v>
      </c>
      <c r="H48" s="23">
        <f>IFERROR(Data!H37-Data!H38,"-")</f>
        <v>1062.0</v>
      </c>
      <c r="I48" s="23">
        <f>IFERROR(Data!I37-Data!I38,"-")</f>
        <v>504.0</v>
      </c>
      <c r="J48" s="23">
        <f>IFERROR(Data!J37-Data!J38,"-")</f>
        <v>2443.0</v>
      </c>
      <c r="K48" s="23">
        <f>IFERROR(Data!K37-Data!K38,"-")</f>
        <v>1747.0</v>
      </c>
      <c r="L48" s="23">
        <f>IFERROR(Data!L37-Data!L38,"-")</f>
        <v>-8896.0</v>
      </c>
      <c r="M48" s="261"/>
      <c r="N48" s="220">
        <f>IFERROR(IF(OR(NOT(ISNUMBER(Data!N37)),NOT(ISNUMBER(Data!N38))),"-",Data!N37-Data!N38),"-")</f>
        <v>2455.0</v>
      </c>
      <c r="O48" s="220">
        <f>IFERROR(IF(OR(NOT(ISNUMBER(Data!O37)),NOT(ISNUMBER(Data!O38))),"-",Data!O37-Data!O38),"-")</f>
        <v>861.0</v>
      </c>
      <c r="P48" s="220">
        <f>IFERROR(IF(OR(NOT(ISNUMBER(Data!P37)),NOT(ISNUMBER(Data!P38))),"-",Data!P37-Data!P38),"-")</f>
        <v>2050.0</v>
      </c>
      <c r="Q48" s="220">
        <f>IFERROR(IF(OR(NOT(ISNUMBER(Data!Q37)),NOT(ISNUMBER(Data!Q38))),"-",Data!Q37-Data!Q38),"-")</f>
        <v>1747.0</v>
      </c>
      <c r="R48" s="220">
        <f>IFERROR(IF(OR(NOT(ISNUMBER(Data!R37)),NOT(ISNUMBER(Data!R38))),"-",Data!R37-Data!R38),"-")</f>
        <v>1670.0</v>
      </c>
      <c r="S48" s="220">
        <f>IFERROR(IF(OR(NOT(ISNUMBER(Data!S37)),NOT(ISNUMBER(Data!S38))),"-",Data!S37-Data!S38),"-")</f>
        <v>2799.0</v>
      </c>
      <c r="T48" s="220">
        <f>IFERROR(IF(OR(NOT(ISNUMBER(Data!T37)),NOT(ISNUMBER(Data!T38))),"-",Data!T37-Data!T38),"-")</f>
        <v>-347.0</v>
      </c>
      <c r="U48" s="220">
        <f>IFERROR(IF(OR(NOT(ISNUMBER(Data!U37)),NOT(ISNUMBER(Data!U38))),"-",Data!U37-Data!U38),"-")</f>
        <v>-8896.0</v>
      </c>
      <c r="V48" s="258">
        <f>IFERROR(IF(OR(NOT(ISNUMBER(Data!V37)),NOT(ISNUMBER(Data!V38))),"-",Data!V37-Data!V38),"-")</f>
        <v>-5889.0</v>
      </c>
      <c r="W48" s="463">
        <f>IFERROR(IF(OR(NOT(ISNUMBER(Data!W37)),NOT(ISNUMBER(Data!W38))),"-",Data!W37-Data!W38),"-")</f>
      </c>
      <c r="X48" s="463">
        <f>IFERROR(IF(OR(NOT(ISNUMBER(Data!X37)),NOT(ISNUMBER(Data!X38))),"-",Data!X37-Data!X38),"-")</f>
      </c>
      <c r="Y48" s="463">
        <f>IFERROR(IF(OR(NOT(ISNUMBER(Data!Y37)),NOT(ISNUMBER(Data!Y38))),"-",Data!Y37-Data!Y38),"-")</f>
      </c>
    </row>
    <row r="49" ht="15" customHeight="1" s="74">
      <c r="A49" s="17" t="inlineStr">
        <is>
          <t>Quick Ratio</t>
        </is>
      </c>
      <c r="B49" s="93">
        <f>IFERROR((Data!B37-Data!B47)/Data!B38,"-")</f>
      </c>
      <c r="C49" s="93">
        <f>IFERROR((Data!C37-Data!C47)/Data!C38,"-")</f>
        <v>0.821993687586235</v>
      </c>
      <c r="D49" s="93">
        <f>IFERROR((Data!D37-Data!D47)/Data!D38,"-")</f>
        <v>0.9171582497804929</v>
      </c>
      <c r="E49" s="93">
        <f>IFERROR((Data!E37-Data!E47)/Data!E38,"-")</f>
        <v>0.9491781430475345</v>
      </c>
      <c r="F49" s="93">
        <f>IFERROR((Data!F37-Data!F47)/Data!F38,"-")</f>
        <v>1.0753115527113506</v>
      </c>
      <c r="G49" s="93">
        <f>IFERROR((Data!G37-Data!G47)/Data!G38,"-")</f>
        <v>1.2347134476534296</v>
      </c>
      <c r="H49" s="93">
        <f>IFERROR((Data!H37-Data!H47)/Data!H38,"-")</f>
        <v>1.04874242702405</v>
      </c>
      <c r="I49" s="93">
        <f>IFERROR((Data!I37-Data!I47)/Data!I38,"-")</f>
        <v>1.0194662237843266</v>
      </c>
      <c r="J49" s="93">
        <f>IFERROR((Data!J37-Data!J47)/Data!J38,"-")</f>
        <v>1.0917351958244152</v>
      </c>
      <c r="K49" s="93">
        <f>IFERROR((Data!K37-Data!K47)/Data!K38,"-")</f>
        <v>1.0624374553252323</v>
      </c>
      <c r="L49" s="93">
        <f>IFERROR((Data!L37-Data!L47)/Data!L38,"-")</f>
        <v>0.760331914435045</v>
      </c>
      <c r="M49" s="261"/>
      <c r="N49" s="244">
        <f>IFERROR(IF(OR(NOT(ISNUMBER(Data!N37)),NOT(ISNUMBER(Data!N47)),NOT(ISNUMBER(Data!N38))),"-",(Data!N37-Data!N47)/Data!N38),"-")</f>
      </c>
      <c r="O49" s="244">
        <f>IFERROR(IF(OR(NOT(ISNUMBER(Data!O37)),NOT(ISNUMBER(Data!O47)),NOT(ISNUMBER(Data!O38))),"-",(Data!O37-Data!O47)/Data!O38),"-")</f>
      </c>
      <c r="P49" s="244">
        <f>IFERROR(IF(OR(NOT(ISNUMBER(Data!P37)),NOT(ISNUMBER(Data!P47)),NOT(ISNUMBER(Data!P38))),"-",(Data!P37-Data!P47)/Data!P38),"-")</f>
      </c>
      <c r="Q49" s="244">
        <f>IFERROR(IF(OR(NOT(ISNUMBER(Data!Q37)),NOT(ISNUMBER(Data!Q47)),NOT(ISNUMBER(Data!Q38))),"-",(Data!Q37-Data!Q47)/Data!Q38),"-")</f>
      </c>
      <c r="R49" s="244">
        <f>IFERROR(IF(OR(NOT(ISNUMBER(Data!R37)),NOT(ISNUMBER(Data!R47)),NOT(ISNUMBER(Data!R38))),"-",(Data!R37-Data!R47)/Data!R38),"-")</f>
      </c>
      <c r="S49" s="244">
        <f>IFERROR(IF(OR(NOT(ISNUMBER(Data!S37)),NOT(ISNUMBER(Data!S47)),NOT(ISNUMBER(Data!S38))),"-",(Data!S37-Data!S47)/Data!S38),"-")</f>
      </c>
      <c r="T49" s="244">
        <f>IFERROR(IF(OR(NOT(ISNUMBER(Data!T37)),NOT(ISNUMBER(Data!T47)),NOT(ISNUMBER(Data!T38))),"-",(Data!T37-Data!T47)/Data!T38),"-")</f>
      </c>
      <c r="U49" s="244">
        <f>IFERROR(IF(OR(NOT(ISNUMBER(Data!U37)),NOT(ISNUMBER(Data!U47)),NOT(ISNUMBER(Data!U38))),"-",(Data!U37-Data!U47)/Data!U38),"-")</f>
      </c>
      <c r="V49" s="256">
        <f>IFERROR(IF(OR(NOT(ISNUMBER(Data!V37)),NOT(ISNUMBER(Data!V47)),NOT(ISNUMBER(Data!V38))),"-",(Data!V37-Data!V47)/Data!V38),"-")</f>
      </c>
      <c r="W49" s="463">
        <f>IFERROR(IF(OR(NOT(ISNUMBER(Data!W37)),NOT(ISNUMBER(Data!W47)),NOT(ISNUMBER(Data!W38))),"-",(Data!W37-Data!W47)/Data!W38),"-")</f>
      </c>
      <c r="X49" s="463">
        <f>IFERROR(IF(OR(NOT(ISNUMBER(Data!X37)),NOT(ISNUMBER(Data!X47)),NOT(ISNUMBER(Data!X38))),"-",(Data!X37-Data!X47)/Data!X38),"-")</f>
      </c>
      <c r="Y49" s="463">
        <f>IFERROR(IF(OR(NOT(ISNUMBER(Data!Y37)),NOT(ISNUMBER(Data!Y47)),NOT(ISNUMBER(Data!Y38))),"-",(Data!Y37-Data!Y47)/Data!Y38),"-")</f>
      </c>
    </row>
    <row r="50" ht="15" customHeight="1" s="74">
      <c r="A50" s="15" t="inlineStr">
        <is>
          <t>Quick Margin ($M)</t>
        </is>
      </c>
      <c r="B50" s="23">
        <f>IFERROR((Data!B37-Data!B47)-Data!B38,"-")</f>
        <v>0.0</v>
      </c>
      <c r="C50" s="23">
        <f>IFERROR((Data!C37-Data!C47)-Data!C38,"-")</f>
        <v>-1298.6390000000001</v>
      </c>
      <c r="D50" s="23">
        <f>IFERROR((Data!D37-Data!D47)-Data!D38,"-")</f>
        <v>-839.1470000000008</v>
      </c>
      <c r="E50" s="23">
        <f>IFERROR((Data!E37-Data!E47)-Data!E38,"-")</f>
        <v>-572.0</v>
      </c>
      <c r="F50" s="23">
        <f>IFERROR((Data!F37-Data!F47)-Data!F38,"-")</f>
        <v>1118.0</v>
      </c>
      <c r="G50" s="23">
        <f>IFERROR((Data!G37-Data!G47)-Data!G38,"-")</f>
        <v>4161.0</v>
      </c>
      <c r="H50" s="23">
        <f>IFERROR((Data!H37-Data!H47)-Data!H38,"-")</f>
        <v>1062.0</v>
      </c>
      <c r="I50" s="23">
        <f>IFERROR((Data!I37-Data!I47)-Data!I38,"-")</f>
        <v>504.0</v>
      </c>
      <c r="J50" s="23">
        <f>IFERROR((Data!J37-Data!J47)-Data!J38,"-")</f>
        <v>2443.0</v>
      </c>
      <c r="K50" s="23">
        <f>IFERROR((Data!K37-Data!K47)-Data!K38,"-")</f>
        <v>1747.0</v>
      </c>
      <c r="L50" s="23">
        <f>IFERROR((Data!L37-Data!L47)-Data!L38,"-")</f>
        <v>-8896.0</v>
      </c>
      <c r="M50" s="261"/>
      <c r="N50" s="220"/>
      <c r="O50" s="220"/>
      <c r="P50" s="220"/>
      <c r="Q50" s="220"/>
      <c r="R50" s="220"/>
      <c r="S50" s="220"/>
      <c r="T50" s="220"/>
      <c r="U50" s="220"/>
      <c r="V50" s="258"/>
      <c r="W50" s="463"/>
      <c r="X50" s="463"/>
      <c r="Y50" s="463"/>
    </row>
    <row r="51" ht="15" customHeight="1" s="74">
      <c r="A51" s="17" t="inlineStr">
        <is>
          <t>Cash Ratio</t>
        </is>
      </c>
      <c r="B51" s="93">
        <f>IFERROR(Data!B32/Data!B38,"-")</f>
      </c>
      <c r="C51" s="93">
        <f>IFERROR(Data!C32/Data!C38,"-")</f>
        <v>0.22021197823415253</v>
      </c>
      <c r="D51" s="93">
        <f>IFERROR(Data!D32/Data!D38,"-")</f>
        <v>0.2510962515689295</v>
      </c>
      <c r="E51" s="93">
        <f>IFERROR(Data!E32/Data!E38,"-")</f>
        <v>0.3857840959573523</v>
      </c>
      <c r="F51" s="93">
        <f>IFERROR(Data!F32/Data!F38,"-")</f>
        <v>0.5353317615358707</v>
      </c>
      <c r="G51" s="93">
        <f>IFERROR(Data!G32/Data!G38,"-")</f>
        <v>0.6749774368231047</v>
      </c>
      <c r="H51" s="93">
        <f>IFERROR(Data!H32/Data!H38,"-")</f>
        <v>0.48361483385349735</v>
      </c>
      <c r="I51" s="93">
        <f>IFERROR(Data!I32/Data!I38,"-")</f>
        <v>0.4831022362983276</v>
      </c>
      <c r="J51" s="93">
        <f>IFERROR(Data!J32/Data!J38,"-")</f>
        <v>0.5329878712778341</v>
      </c>
      <c r="K51" s="93">
        <f>IFERROR(Data!K32/Data!K38,"-")</f>
        <v>0.5015010721944246</v>
      </c>
      <c r="L51" s="93">
        <f>IFERROR(Data!L32/Data!L38,"-")</f>
        <v>0.25769168597445985</v>
      </c>
      <c r="M51" s="261"/>
      <c r="N51" s="244">
        <f>IFERROR(IF(OR(NOT(ISNUMBER(Data!N32)),NOT(ISNUMBER(Data!N38))),"-",Data!N32/Data!N38),"-")</f>
        <v>0.7633159099745129</v>
      </c>
      <c r="O51" s="244">
        <f>IFERROR(IF(OR(NOT(ISNUMBER(Data!O32)),NOT(ISNUMBER(Data!O38))),"-",Data!O32/Data!O38),"-")</f>
        <v>0.6016856340174277</v>
      </c>
      <c r="P51" s="244">
        <f>IFERROR(IF(OR(NOT(ISNUMBER(Data!P32)),NOT(ISNUMBER(Data!P38))),"-",Data!P32/Data!P38),"-")</f>
        <v>0.6584258064516129</v>
      </c>
      <c r="Q51" s="244">
        <f>IFERROR(IF(OR(NOT(ISNUMBER(Data!Q32)),NOT(ISNUMBER(Data!Q38))),"-",Data!Q32/Data!Q38),"-")</f>
        <v>0.5015010721944246</v>
      </c>
      <c r="R51" s="244">
        <f>IFERROR(IF(OR(NOT(ISNUMBER(Data!R32)),NOT(ISNUMBER(Data!R38))),"-",Data!R32/Data!R38),"-")</f>
        <v>0.7194577616134898</v>
      </c>
      <c r="S51" s="244">
        <f>IFERROR(IF(OR(NOT(ISNUMBER(Data!S32)),NOT(ISNUMBER(Data!S38))),"-",Data!S32/Data!S38),"-")</f>
        <v>0.6822297177347773</v>
      </c>
      <c r="T51" s="244">
        <f>IFERROR(IF(OR(NOT(ISNUMBER(Data!T32)),NOT(ISNUMBER(Data!T38))),"-",Data!T32/Data!T38),"-")</f>
        <v>0.5288650163475012</v>
      </c>
      <c r="U51" s="244">
        <f>IFERROR(IF(OR(NOT(ISNUMBER(Data!U32)),NOT(ISNUMBER(Data!U38))),"-",Data!U32/Data!U38),"-")</f>
        <v>0.25769168597445985</v>
      </c>
      <c r="V51" s="256">
        <f>IFERROR(IF(OR(NOT(ISNUMBER(Data!V32)),NOT(ISNUMBER(Data!V38))),"-",Data!V32/Data!V38),"-")</f>
        <v>0.43040506145007634</v>
      </c>
      <c r="W51" s="463">
        <f>IFERROR(IF(OR(NOT(ISNUMBER(Data!W32)),NOT(ISNUMBER(Data!W38))),"-",Data!W32/Data!W38),"-")</f>
      </c>
      <c r="X51" s="463">
        <f>IFERROR(IF(OR(NOT(ISNUMBER(Data!X32)),NOT(ISNUMBER(Data!X38))),"-",Data!X32/Data!X38),"-")</f>
      </c>
      <c r="Y51" s="463">
        <f>IFERROR(IF(OR(NOT(ISNUMBER(Data!Y32)),NOT(ISNUMBER(Data!Y38))),"-",Data!Y32/Data!Y38),"-")</f>
      </c>
    </row>
    <row r="52" ht="15" customHeight="1" s="74">
      <c r="A52" s="15" t="inlineStr">
        <is>
          <t>Cash Margin ($M)</t>
        </is>
      </c>
      <c r="B52" s="23">
        <f>IFERROR(Data!B32-Data!B38,"-")</f>
        <v>1158.363</v>
      </c>
      <c r="C52" s="23">
        <f>IFERROR(Data!C32-Data!C38,"-")</f>
        <v>-5688.917</v>
      </c>
      <c r="D52" s="23">
        <f>IFERROR(Data!D32-Data!D38,"-")</f>
        <v>-7586.034</v>
      </c>
      <c r="E52" s="23">
        <f>IFERROR(Data!E32-Data!E38,"-")</f>
        <v>-6913.0</v>
      </c>
      <c r="F52" s="23">
        <f>IFERROR(Data!F32-Data!F38,"-")</f>
        <v>-6898.0</v>
      </c>
      <c r="G52" s="23">
        <f>IFERROR(Data!G32-Data!G38,"-")</f>
        <v>-5762.0</v>
      </c>
      <c r="H52" s="23">
        <f>IFERROR(Data!H32-Data!H38,"-")</f>
        <v>-11251.0</v>
      </c>
      <c r="I52" s="23">
        <f>IFERROR(Data!I32-Data!I38,"-")</f>
        <v>-13383.0</v>
      </c>
      <c r="J52" s="23">
        <f>IFERROR(Data!J32-Data!J38,"-")</f>
        <v>-12437.0</v>
      </c>
      <c r="K52" s="23">
        <f>IFERROR(Data!K32-Data!K38,"-")</f>
        <v>-13948.0</v>
      </c>
      <c r="L52" s="23">
        <f>IFERROR(Data!L32-Data!L38,"-")</f>
        <v>-27553.0</v>
      </c>
      <c r="M52" s="261"/>
      <c r="N52" s="220"/>
      <c r="O52" s="220"/>
      <c r="P52" s="220"/>
      <c r="Q52" s="220"/>
      <c r="R52" s="220"/>
      <c r="S52" s="220"/>
      <c r="T52" s="220"/>
      <c r="U52" s="220"/>
      <c r="V52" s="258"/>
      <c r="W52" s="463"/>
      <c r="X52" s="463"/>
      <c r="Y52" s="463"/>
    </row>
    <row r="53" ht="15" customHeight="1" s="74">
      <c r="A53" s="17" t="inlineStr">
        <is>
          <t>Immediate Liquidity Index</t>
        </is>
      </c>
      <c r="B53" s="81">
        <f>IFERROR(Data!B32/Data!B39,"-")</f>
      </c>
      <c r="C53" s="81">
        <f>IFERROR(Data!C32/Data!C39,"-")</f>
        <v>0.09135945605221019</v>
      </c>
      <c r="D53" s="81">
        <f>IFERROR(Data!D32/Data!D39,"-")</f>
        <v>0.12106177868787149</v>
      </c>
      <c r="E53" s="81">
        <f>IFERROR(Data!E32/Data!E39,"-")</f>
        <v>0.14126297296417997</v>
      </c>
      <c r="F53" s="81">
        <f>IFERROR(Data!F32/Data!F39,"-")</f>
        <v>0.1441606501469361</v>
      </c>
      <c r="G53" s="81">
        <f>IFERROR(Data!G32/Data!G39,"-")</f>
        <v>0.18047993242937513</v>
      </c>
      <c r="H53" s="81">
        <f>IFERROR(Data!H32/Data!H39,"-")</f>
        <v>0.1106723103908244</v>
      </c>
      <c r="I53" s="81">
        <f>IFERROR(Data!I32/Data!I39,"-")</f>
        <v>0.1265364343594776</v>
      </c>
      <c r="J53" s="81">
        <f>IFERROR(Data!J32/Data!J39,"-")</f>
        <v>0.142191679272312</v>
      </c>
      <c r="K53" s="81">
        <f>IFERROR(Data!K32/Data!K39,"-")</f>
        <v>0.13632830716617442</v>
      </c>
      <c r="L53" s="81">
        <f>IFERROR(Data!L32/Data!L39,"-")</f>
        <v>0.08516984996215662</v>
      </c>
      <c r="M53" s="261"/>
      <c r="N53" s="249"/>
      <c r="O53" s="249"/>
      <c r="P53" s="249"/>
      <c r="Q53" s="249"/>
      <c r="R53" s="249"/>
      <c r="S53" s="249"/>
      <c r="T53" s="249"/>
      <c r="U53" s="249"/>
      <c r="V53" s="256"/>
      <c r="W53" s="463"/>
      <c r="X53" s="463"/>
      <c r="Y53" s="463"/>
    </row>
    <row r="54" ht="15" customHeight="1" s="74">
      <c r="A54" s="15" t="inlineStr">
        <is>
          <t>Inventory Index</t>
        </is>
      </c>
      <c r="B54" s="84">
        <f>IFERROR(Data!B47/Data!B39,"-")</f>
      </c>
      <c r="C54" s="84">
        <f>IFERROR(Data!C47/Data!C39,"-")</f>
        <v>0.0</v>
      </c>
      <c r="D54" s="84">
        <f>IFERROR(Data!D47/Data!D39,"-")</f>
        <v>0.0</v>
      </c>
      <c r="E54" s="84">
        <f>IFERROR(Data!E47/Data!E39,"-")</f>
        <v>0.0</v>
      </c>
      <c r="F54" s="84">
        <f>IFERROR(Data!F47/Data!F39,"-")</f>
        <v>0.0</v>
      </c>
      <c r="G54" s="84">
        <f>IFERROR(Data!G47/Data!G39,"-")</f>
        <v>0.0</v>
      </c>
      <c r="H54" s="84">
        <f>IFERROR(Data!H47/Data!H39,"-")</f>
        <v>0.0</v>
      </c>
      <c r="I54" s="84">
        <f>IFERROR(Data!I47/Data!I39,"-")</f>
        <v>0.0</v>
      </c>
      <c r="J54" s="84">
        <f>IFERROR(Data!J47/Data!J39,"-")</f>
        <v>0.0</v>
      </c>
      <c r="K54" s="84">
        <f>IFERROR(Data!K47/Data!K39,"-")</f>
        <v>0.0</v>
      </c>
      <c r="L54" s="84">
        <f>IFERROR(Data!L47/Data!L39,"-")</f>
        <v>0.0</v>
      </c>
      <c r="M54" s="261"/>
      <c r="N54" s="250"/>
      <c r="O54" s="250"/>
      <c r="P54" s="250"/>
      <c r="Q54" s="250"/>
      <c r="R54" s="250"/>
      <c r="S54" s="250"/>
      <c r="T54" s="250"/>
      <c r="U54" s="250"/>
      <c r="V54" s="258"/>
      <c r="W54" s="463"/>
      <c r="X54" s="463"/>
      <c r="Y54" s="463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N55" s="2"/>
      <c r="O55" s="2"/>
      <c r="P55" s="2"/>
      <c r="Q55" s="2"/>
      <c r="R55" s="2"/>
      <c r="S55" s="2"/>
      <c r="T55" s="2"/>
      <c r="U55" s="2"/>
    </row>
    <row r="56" ht="19" customHeight="1" s="74">
      <c r="A56" s="226" t="inlineStr">
        <is>
          <t>EFFICIENCY &amp; ACTIVITY RATIOS</t>
        </is>
      </c>
    </row>
    <row r="57" ht="15" customHeight="1" s="74">
      <c r="A57" s="14" t="inlineStr">
        <is>
          <t>Period</t>
        </is>
      </c>
      <c r="B57" s="14">
        <f>Data!B13</f>
        <v>2016.0</v>
      </c>
      <c r="C57" s="14">
        <f>Data!C13</f>
        <v>2017.0</v>
      </c>
      <c r="D57" s="14">
        <f>Data!D13</f>
        <v>2018.0</v>
      </c>
      <c r="E57" s="14">
        <f>Data!E13</f>
        <v>2019.0</v>
      </c>
      <c r="F57" s="14">
        <f>Data!F13</f>
        <v>2020.0</v>
      </c>
      <c r="G57" s="14">
        <f>Data!G13</f>
        <v>2021.0</v>
      </c>
      <c r="H57" s="14">
        <f>Data!H13</f>
        <v>2022.0</v>
      </c>
      <c r="I57" s="14">
        <f>Data!I13</f>
        <v>2023.0</v>
      </c>
      <c r="J57" s="14">
        <f>Data!J13</f>
        <v>2024.0</v>
      </c>
      <c r="K57" s="14">
        <f>Data!K13</f>
        <v>2025.0</v>
      </c>
      <c r="L57" s="14">
        <f>Data!L13</f>
        <v>2026.0</v>
      </c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</row>
    <row r="58" ht="15" customHeight="1" s="74">
      <c r="A58" s="15" t="inlineStr">
        <is>
          <t>Inventory Turnover</t>
        </is>
      </c>
      <c r="B58" s="83">
        <f>IFERROR(IF(OR(NOT(ISNUMBER(Data!B15)),NOT(ISNUMBER(Data!B47))),"-",Data!B15/(Data!B47)),"-")</f>
      </c>
      <c r="C58" s="83">
        <f>IFERROR(IF(OR(NOT(ISNUMBER(Data!C15)),NOT(ISNUMBER(Data!C47)),NOT(ISNUMBER(Data!B47))),"-",Data!C15/((Data!C47+Data!B47)/2)),"-")</f>
      </c>
      <c r="D58" s="83">
        <f>IFERROR(IF(OR(NOT(ISNUMBER(Data!D15)),NOT(ISNUMBER(Data!D47)),NOT(ISNUMBER(Data!C47))),"-",Data!D15/((Data!D47+Data!C47)/2)),"-")</f>
      </c>
      <c r="E58" s="83">
        <f>IFERROR(IF(OR(NOT(ISNUMBER(Data!E15)),NOT(ISNUMBER(Data!E47)),NOT(ISNUMBER(Data!D47))),"-",Data!E15/((Data!E47+Data!D47)/2)),"-")</f>
      </c>
      <c r="F58" s="83">
        <f>IFERROR(IF(OR(NOT(ISNUMBER(Data!F15)),NOT(ISNUMBER(Data!F47)),NOT(ISNUMBER(Data!E47))),"-",Data!F15/((Data!F47+Data!E47)/2)),"-")</f>
      </c>
      <c r="G58" s="83">
        <f>IFERROR(IF(OR(NOT(ISNUMBER(Data!G15)),NOT(ISNUMBER(Data!G47)),NOT(ISNUMBER(Data!F47))),"-",Data!G15/((Data!G47+Data!F47)/2)),"-")</f>
      </c>
      <c r="H58" s="83">
        <f>IFERROR(IF(OR(NOT(ISNUMBER(Data!H15)),NOT(ISNUMBER(Data!H47)),NOT(ISNUMBER(Data!G47))),"-",Data!H15/((Data!H47+Data!G47)/2)),"-")</f>
      </c>
      <c r="I58" s="83">
        <f>IFERROR(IF(OR(NOT(ISNUMBER(Data!I15)),NOT(ISNUMBER(Data!I47)),NOT(ISNUMBER(Data!H47))),"-",Data!I15/((Data!I47+Data!H47)/2)),"-")</f>
      </c>
      <c r="J58" s="83">
        <f>IFERROR(IF(OR(NOT(ISNUMBER(Data!J15)),NOT(ISNUMBER(Data!J47)),NOT(ISNUMBER(Data!I47))),"-",Data!J15/((Data!J47+Data!I47)/2)),"-")</f>
      </c>
      <c r="K58" s="83">
        <f>IFERROR(IF(OR(NOT(ISNUMBER(Data!K15)),NOT(ISNUMBER(Data!K47)),NOT(ISNUMBER(Data!J47))),"-",Data!K15/((Data!K47+Data!J47)/2)),"-")</f>
      </c>
      <c r="L58" s="83">
        <f>IFERROR(IF(OR(NOT(ISNUMBER(Data!L15)),NOT(ISNUMBER(Data!L47)),NOT(ISNUMBER(Data!K47))),"-",Data!L15/((Data!L47+Data!K47)/2)),"-")</f>
      </c>
      <c r="M58" s="261"/>
      <c r="N58" s="269"/>
      <c r="O58" s="269"/>
      <c r="P58" s="269"/>
      <c r="Q58" s="269"/>
      <c r="R58" s="269"/>
      <c r="S58" s="269"/>
      <c r="T58" s="269"/>
      <c r="U58" s="269"/>
      <c r="V58" s="261"/>
      <c r="W58" s="469"/>
      <c r="X58" s="469"/>
      <c r="Y58" s="469"/>
    </row>
    <row r="59" ht="15" customHeight="1" s="74">
      <c r="A59" s="17" t="inlineStr">
        <is>
          <t>Days Inventory Outstanding</t>
        </is>
      </c>
      <c r="B59" s="93">
        <f>IFERROR(IF(OR(NOT(ISNUMBER(Data!B47)),NOT(ISNUMBER(Data!B15))),"-",(Data!B47)/Data!B15*365),"-")</f>
      </c>
      <c r="C59" s="93">
        <f>IFERROR(IF(OR(NOT(ISNUMBER(Data!C47)),NOT(ISNUMBER(Data!B47)),NOT(ISNUMBER(Data!C15))),"-",((Data!C47+Data!B47)/2)/Data!C15*365),"-")</f>
      </c>
      <c r="D59" s="93">
        <f>IFERROR(IF(OR(NOT(ISNUMBER(Data!D47)),NOT(ISNUMBER(Data!C47)),NOT(ISNUMBER(Data!D15))),"-",((Data!D47+Data!C47)/2)/Data!D15*365),"-")</f>
      </c>
      <c r="E59" s="93">
        <f>IFERROR(IF(OR(NOT(ISNUMBER(Data!E47)),NOT(ISNUMBER(Data!D47)),NOT(ISNUMBER(Data!E15))),"-",((Data!E47+Data!D47)/2)/Data!E15*365),"-")</f>
      </c>
      <c r="F59" s="93">
        <f>IFERROR(IF(OR(NOT(ISNUMBER(Data!F47)),NOT(ISNUMBER(Data!E47)),NOT(ISNUMBER(Data!F15))),"-",((Data!F47+Data!E47)/2)/Data!F15*365),"-")</f>
      </c>
      <c r="G59" s="93">
        <f>IFERROR(IF(OR(NOT(ISNUMBER(Data!G47)),NOT(ISNUMBER(Data!F47)),NOT(ISNUMBER(Data!G15))),"-",((Data!G47+Data!F47)/2)/Data!G15*365),"-")</f>
      </c>
      <c r="H59" s="93">
        <f>IFERROR(IF(OR(NOT(ISNUMBER(Data!H47)),NOT(ISNUMBER(Data!G47)),NOT(ISNUMBER(Data!H15))),"-",((Data!H47+Data!G47)/2)/Data!H15*365),"-")</f>
      </c>
      <c r="I59" s="93">
        <f>IFERROR(IF(OR(NOT(ISNUMBER(Data!I47)),NOT(ISNUMBER(Data!H47)),NOT(ISNUMBER(Data!I15))),"-",((Data!I47+Data!H47)/2)/Data!I15*365),"-")</f>
      </c>
      <c r="J59" s="93">
        <f>IFERROR(IF(OR(NOT(ISNUMBER(Data!J47)),NOT(ISNUMBER(Data!I47)),NOT(ISNUMBER(Data!J15))),"-",((Data!J47+Data!I47)/2)/Data!J15*365),"-")</f>
      </c>
      <c r="K59" s="93">
        <f>IFERROR(IF(OR(NOT(ISNUMBER(Data!K47)),NOT(ISNUMBER(Data!J47)),NOT(ISNUMBER(Data!K15))),"-",((Data!K47+Data!J47)/2)/Data!K15*365),"-")</f>
      </c>
      <c r="L59" s="93">
        <f>IFERROR(IF(OR(NOT(ISNUMBER(Data!L47)),NOT(ISNUMBER(Data!K47)),NOT(ISNUMBER(Data!L15))),"-",((Data!L47+Data!K47)/2)/Data!L15*365),"-")</f>
      </c>
      <c r="M59" s="261"/>
      <c r="N59" s="269"/>
      <c r="O59" s="269"/>
      <c r="P59" s="269"/>
      <c r="Q59" s="269"/>
      <c r="R59" s="269"/>
      <c r="S59" s="269"/>
      <c r="T59" s="269"/>
      <c r="U59" s="269"/>
      <c r="V59" s="261"/>
      <c r="W59" s="469"/>
      <c r="X59" s="469"/>
      <c r="Y59" s="469"/>
    </row>
    <row r="60" ht="15" customHeight="1" s="74">
      <c r="A60" s="15" t="inlineStr">
        <is>
          <t>Receivables Turnover</t>
        </is>
      </c>
      <c r="B60" s="83">
        <f>IFERROR(IF(OR(NOT(ISNUMBER(Data!B14)),NOT(ISNUMBER(Data!B45))),"-",Data!B14/(Data!B45)),"-")</f>
      </c>
      <c r="C60" s="83">
        <f>IFERROR(IF(OR(NOT(ISNUMBER(Data!C14)),NOT(ISNUMBER(Data!C45)),NOT(ISNUMBER(Data!B45))),"-",Data!C14/((Data!C45+Data!B45)/2)),"-")</f>
      </c>
      <c r="D60" s="83">
        <f>IFERROR(IF(OR(NOT(ISNUMBER(Data!D14)),NOT(ISNUMBER(Data!D45)),NOT(ISNUMBER(Data!C45))),"-",Data!D14/((Data!D45+Data!C45)/2)),"-")</f>
        <v>2.946288215254221</v>
      </c>
      <c r="E60" s="83">
        <f>IFERROR(IF(OR(NOT(ISNUMBER(Data!E14)),NOT(ISNUMBER(Data!E45)),NOT(ISNUMBER(Data!D45))),"-",Data!E14/((Data!E45+Data!D45)/2)),"-")</f>
        <v>3.0045012097064707</v>
      </c>
      <c r="F60" s="83">
        <f>IFERROR(IF(OR(NOT(ISNUMBER(Data!F14)),NOT(ISNUMBER(Data!F45)),NOT(ISNUMBER(Data!E45))),"-",Data!F14/((Data!F45+Data!E45)/2)),"-")</f>
        <v>3.081275905568571</v>
      </c>
      <c r="G60" s="83">
        <f>IFERROR(IF(OR(NOT(ISNUMBER(Data!G14)),NOT(ISNUMBER(Data!G45)),NOT(ISNUMBER(Data!F45))),"-",Data!G14/((Data!G45+Data!F45)/2)),"-")</f>
        <v>3.0446991404011463</v>
      </c>
      <c r="H60" s="83">
        <f>IFERROR(IF(OR(NOT(ISNUMBER(Data!H14)),NOT(ISNUMBER(Data!H45)),NOT(ISNUMBER(Data!G45))),"-",Data!H14/((Data!H45+Data!G45)/2)),"-")</f>
        <v>3.0233380884450787</v>
      </c>
      <c r="I60" s="83">
        <f>IFERROR(IF(OR(NOT(ISNUMBER(Data!I14)),NOT(ISNUMBER(Data!I45)),NOT(ISNUMBER(Data!H45))),"-",Data!I14/((Data!I45+Data!H45)/2)),"-")</f>
        <v>3.0596272079633065</v>
      </c>
      <c r="J60" s="83">
        <f>IFERROR(IF(OR(NOT(ISNUMBER(Data!J14)),NOT(ISNUMBER(Data!J45)),NOT(ISNUMBER(Data!I45))),"-",Data!J14/((Data!J45+Data!I45)/2)),"-")</f>
        <v>3.1446614642067754</v>
      </c>
      <c r="K60" s="83">
        <f>IFERROR(IF(OR(NOT(ISNUMBER(Data!K14)),NOT(ISNUMBER(Data!K45)),NOT(ISNUMBER(Data!J45))),"-",Data!K14/((Data!K45+Data!J45)/2)),"-")</f>
        <v>3.2445738259343293</v>
      </c>
      <c r="L60" s="83">
        <f>IFERROR(IF(OR(NOT(ISNUMBER(Data!L14)),NOT(ISNUMBER(Data!L45)),NOT(ISNUMBER(Data!K45))),"-",Data!L14/((Data!L45+Data!K45)/2)),"-")</f>
        <v>3.159716938061178</v>
      </c>
      <c r="M60" s="261"/>
      <c r="N60" s="269"/>
      <c r="O60" s="269"/>
      <c r="P60" s="269"/>
      <c r="Q60" s="269"/>
      <c r="R60" s="269"/>
      <c r="S60" s="269"/>
      <c r="T60" s="269"/>
      <c r="U60" s="269"/>
      <c r="V60" s="261"/>
      <c r="W60" s="469"/>
      <c r="X60" s="469"/>
      <c r="Y60" s="469"/>
    </row>
    <row r="61" ht="15" customHeight="1" s="74">
      <c r="A61" s="17" t="inlineStr">
        <is>
          <t>Days Sales Outstanding</t>
        </is>
      </c>
      <c r="B61" s="93">
        <f>IFERROR(IF(OR(NOT(ISNUMBER(Data!B45)),NOT(ISNUMBER(Data!B14))),"-",(Data!B45)/Data!B14*365),"-")</f>
      </c>
      <c r="C61" s="93">
        <f>IFERROR(IF(OR(NOT(ISNUMBER(Data!C45)),NOT(ISNUMBER(Data!B45)),NOT(ISNUMBER(Data!C14))),"-",((Data!C45+Data!B45)/2)/Data!C14*365),"-")</f>
      </c>
      <c r="D61" s="93">
        <f>IFERROR(IF(OR(NOT(ISNUMBER(Data!D45)),NOT(ISNUMBER(Data!C45)),NOT(ISNUMBER(Data!D14))),"-",((Data!D45+Data!C45)/2)/Data!D14*365),"-")</f>
        <v>123.8846892541726</v>
      </c>
      <c r="E61" s="93">
        <f>IFERROR(IF(OR(NOT(ISNUMBER(Data!E45)),NOT(ISNUMBER(Data!D45)),NOT(ISNUMBER(Data!E14))),"-",((Data!E45+Data!D45)/2)/Data!E14*365),"-")</f>
        <v>121.48439109320886</v>
      </c>
      <c r="F61" s="93">
        <f>IFERROR(IF(OR(NOT(ISNUMBER(Data!F45)),NOT(ISNUMBER(Data!E45)),NOT(ISNUMBER(Data!F14))),"-",((Data!F45+Data!E45)/2)/Data!F14*365),"-")</f>
        <v>118.45742192069247</v>
      </c>
      <c r="G61" s="93">
        <f>IFERROR(IF(OR(NOT(ISNUMBER(Data!G45)),NOT(ISNUMBER(Data!F45)),NOT(ISNUMBER(Data!G14))),"-",((Data!G45+Data!F45)/2)/Data!G14*365),"-")</f>
        <v>119.88048183700357</v>
      </c>
      <c r="H61" s="93">
        <f>IFERROR(IF(OR(NOT(ISNUMBER(Data!H45)),NOT(ISNUMBER(Data!G45)),NOT(ISNUMBER(Data!H14))),"-",((Data!H45+Data!G45)/2)/Data!H14*365),"-")</f>
        <v>120.72748376868488</v>
      </c>
      <c r="I61" s="93">
        <f>IFERROR(IF(OR(NOT(ISNUMBER(Data!I45)),NOT(ISNUMBER(Data!H45)),NOT(ISNUMBER(Data!I14))),"-",((Data!I45+Data!H45)/2)/Data!I14*365),"-")</f>
        <v>119.29557922939524</v>
      </c>
      <c r="J61" s="93">
        <f>IFERROR(IF(OR(NOT(ISNUMBER(Data!J45)),NOT(ISNUMBER(Data!I45)),NOT(ISNUMBER(Data!J14))),"-",((Data!J45+Data!I45)/2)/Data!J14*365),"-")</f>
        <v>116.06972774478584</v>
      </c>
      <c r="K61" s="93">
        <f>IFERROR(IF(OR(NOT(ISNUMBER(Data!K45)),NOT(ISNUMBER(Data!J45)),NOT(ISNUMBER(Data!K14))),"-",((Data!K45+Data!J45)/2)/Data!K14*365),"-")</f>
        <v>112.49551392004221</v>
      </c>
      <c r="L61" s="93">
        <f>IFERROR(IF(OR(NOT(ISNUMBER(Data!L45)),NOT(ISNUMBER(Data!K45)),NOT(ISNUMBER(Data!L14))),"-",((Data!L45+Data!K45)/2)/Data!L14*365),"-")</f>
        <v>115.51667670078265</v>
      </c>
      <c r="M61" s="261"/>
      <c r="N61" s="269"/>
      <c r="O61" s="269"/>
      <c r="P61" s="269"/>
      <c r="Q61" s="269"/>
      <c r="R61" s="269"/>
      <c r="S61" s="269"/>
      <c r="T61" s="269"/>
      <c r="U61" s="269"/>
      <c r="V61" s="261"/>
      <c r="W61" s="469"/>
      <c r="X61" s="469"/>
      <c r="Y61" s="469"/>
    </row>
    <row r="62" ht="15" customHeight="1" s="74">
      <c r="A62" s="15" t="inlineStr">
        <is>
          <t>Payables Turnover</t>
        </is>
      </c>
      <c r="B62" s="83">
        <f>IFERROR(IF(OR(NOT(ISNUMBER(Data!B15)),NOT(ISNUMBER(Data!B46))),"-",Data!B15/(Data!B46)),"-")</f>
      </c>
      <c r="C62" s="83">
        <f>IFERROR(IF(OR(NOT(ISNUMBER(Data!C15)),NOT(ISNUMBER(Data!C46)),NOT(ISNUMBER(Data!B46))),"-",Data!C15/((Data!C46+Data!B46)/2)),"-")</f>
      </c>
      <c r="D62" s="83">
        <f>IFERROR(IF(OR(NOT(ISNUMBER(Data!D15)),NOT(ISNUMBER(Data!D46)),NOT(ISNUMBER(Data!C46))),"-",Data!D15/((Data!D46+Data!C46)/2)),"-")</f>
        <v>1.4741955373183513</v>
      </c>
      <c r="E62" s="83">
        <f>IFERROR(IF(OR(NOT(ISNUMBER(Data!E15)),NOT(ISNUMBER(Data!E46)),NOT(ISNUMBER(Data!D46))),"-",Data!E15/((Data!E46+Data!D46)/2)),"-")</f>
        <v>3.173193275147396</v>
      </c>
      <c r="F62" s="83">
        <f>IFERROR(IF(OR(NOT(ISNUMBER(Data!F15)),NOT(ISNUMBER(Data!F46)),NOT(ISNUMBER(Data!E46))),"-",Data!F15/((Data!F46+Data!E46)/2)),"-")</f>
        <v>2.3540856031128405</v>
      </c>
      <c r="G62" s="83">
        <f>IFERROR(IF(OR(NOT(ISNUMBER(Data!G15)),NOT(ISNUMBER(Data!G46)),NOT(ISNUMBER(Data!F46))),"-",Data!G15/((Data!G46+Data!F46)/2)),"-")</f>
        <v>1.396507447354905</v>
      </c>
      <c r="H62" s="83">
        <f>IFERROR(IF(OR(NOT(ISNUMBER(Data!H15)),NOT(ISNUMBER(Data!H46)),NOT(ISNUMBER(Data!G46))),"-",Data!H15/((Data!H46+Data!G46)/2)),"-")</f>
        <v>1.429646963068471</v>
      </c>
      <c r="I62" s="83">
        <f>IFERROR(IF(OR(NOT(ISNUMBER(Data!I15)),NOT(ISNUMBER(Data!I46)),NOT(ISNUMBER(Data!H46))),"-",Data!I15/((Data!I46+Data!H46)/2)),"-")</f>
        <v>1.3685847589424571</v>
      </c>
      <c r="J62" s="83">
        <f>IFERROR(IF(OR(NOT(ISNUMBER(Data!J15)),NOT(ISNUMBER(Data!J46)),NOT(ISNUMBER(Data!I46))),"-",Data!J15/((Data!J46+Data!I46)/2)),"-")</f>
        <v>1.3289248482962501</v>
      </c>
      <c r="K62" s="83">
        <f>IFERROR(IF(OR(NOT(ISNUMBER(Data!K15)),NOT(ISNUMBER(Data!K46)),NOT(ISNUMBER(Data!J46))),"-",Data!K15/((Data!K46+Data!J46)/2)),"-")</f>
        <v>1.3537473568799436</v>
      </c>
      <c r="L62" s="83">
        <f>IFERROR(IF(OR(NOT(ISNUMBER(Data!L15)),NOT(ISNUMBER(Data!L46)),NOT(ISNUMBER(Data!K46))),"-",Data!L15/((Data!L46+Data!K46)/2)),"-")</f>
        <v>1.2433773724096304</v>
      </c>
      <c r="M62" s="261"/>
      <c r="N62" s="269"/>
      <c r="O62" s="269"/>
      <c r="P62" s="269"/>
      <c r="Q62" s="269"/>
      <c r="R62" s="269"/>
      <c r="S62" s="269"/>
      <c r="T62" s="269"/>
      <c r="U62" s="269"/>
      <c r="V62" s="261"/>
      <c r="W62" s="469"/>
      <c r="X62" s="469"/>
      <c r="Y62" s="469"/>
    </row>
    <row r="63" ht="15" customHeight="1" s="74">
      <c r="A63" s="17" t="inlineStr">
        <is>
          <t>Days Payables Outstanding</t>
        </is>
      </c>
      <c r="B63" s="93">
        <f>IFERROR(IF(OR(NOT(ISNUMBER(Data!B46)),NOT(ISNUMBER(Data!B15))),"-",(Data!B46)/Data!B15*365),"-")</f>
      </c>
      <c r="C63" s="93">
        <f>IFERROR(IF(OR(NOT(ISNUMBER(Data!C46)),NOT(ISNUMBER(Data!B46)),NOT(ISNUMBER(Data!C15))),"-",((Data!C46+Data!B46)/2)/Data!C15*365),"-")</f>
      </c>
      <c r="D63" s="93">
        <f>IFERROR(IF(OR(NOT(ISNUMBER(Data!D46)),NOT(ISNUMBER(Data!C46)),NOT(ISNUMBER(Data!D15))),"-",((Data!D46+Data!C46)/2)/Data!D15*365),"-")</f>
        <v>247.59266376830618</v>
      </c>
      <c r="E63" s="93">
        <f>IFERROR(IF(OR(NOT(ISNUMBER(Data!E46)),NOT(ISNUMBER(Data!D46)),NOT(ISNUMBER(Data!E15))),"-",((Data!E46+Data!D46)/2)/Data!E15*365),"-")</f>
        <v>115.02608519269778</v>
      </c>
      <c r="F63" s="93">
        <f>IFERROR(IF(OR(NOT(ISNUMBER(Data!F46)),NOT(ISNUMBER(Data!E46)),NOT(ISNUMBER(Data!F15))),"-",((Data!F46+Data!E46)/2)/Data!F15*365),"-")</f>
        <v>155.0495867768595</v>
      </c>
      <c r="G63" s="93">
        <f>IFERROR(IF(OR(NOT(ISNUMBER(Data!G46)),NOT(ISNUMBER(Data!F46)),NOT(ISNUMBER(Data!G15))),"-",((Data!G46+Data!F46)/2)/Data!G15*365),"-")</f>
        <v>261.3663111438029</v>
      </c>
      <c r="H63" s="93">
        <f>IFERROR(IF(OR(NOT(ISNUMBER(Data!H46)),NOT(ISNUMBER(Data!G46)),NOT(ISNUMBER(Data!H15))),"-",((Data!H46+Data!G46)/2)/Data!H15*365),"-")</f>
        <v>255.30778536863082</v>
      </c>
      <c r="I63" s="93">
        <f>IFERROR(IF(OR(NOT(ISNUMBER(Data!I46)),NOT(ISNUMBER(Data!H46)),NOT(ISNUMBER(Data!I15))),"-",((Data!I46+Data!H46)/2)/Data!I15*365),"-")</f>
        <v>266.6988636363636</v>
      </c>
      <c r="J63" s="93">
        <f>IFERROR(IF(OR(NOT(ISNUMBER(Data!J46)),NOT(ISNUMBER(Data!I46)),NOT(ISNUMBER(Data!J15))),"-",((Data!J46+Data!I46)/2)/Data!J15*365),"-")</f>
        <v>274.65811965811963</v>
      </c>
      <c r="K63" s="93">
        <f>IFERROR(IF(OR(NOT(ISNUMBER(Data!K46)),NOT(ISNUMBER(Data!J46)),NOT(ISNUMBER(Data!K15))),"-",((Data!K46+Data!J46)/2)/Data!K15*365),"-")</f>
        <v>269.62194839754716</v>
      </c>
      <c r="L63" s="93">
        <f>IFERROR(IF(OR(NOT(ISNUMBER(Data!L46)),NOT(ISNUMBER(Data!K46)),NOT(ISNUMBER(Data!L15))),"-",((Data!L46+Data!K46)/2)/Data!L15*365),"-")</f>
        <v>293.5552858683927</v>
      </c>
      <c r="M63" s="261"/>
      <c r="N63" s="269"/>
      <c r="O63" s="269"/>
      <c r="P63" s="269"/>
      <c r="Q63" s="269"/>
      <c r="R63" s="269"/>
      <c r="S63" s="269"/>
      <c r="T63" s="269"/>
      <c r="U63" s="269"/>
      <c r="V63" s="261"/>
      <c r="W63" s="469"/>
      <c r="X63" s="469"/>
      <c r="Y63" s="469"/>
    </row>
    <row r="64" ht="15" customHeight="1" s="74">
      <c r="A64" s="15" t="inlineStr">
        <is>
          <t>Cash Conversion Cycle (days)</t>
        </is>
      </c>
      <c r="B64" s="83">
        <f>IFERROR(IF(OR(NOT(ISNUMBER(Metrics!B59)),NOT(ISNUMBER(Metrics!B61)),NOT(ISNUMBER(Metrics!B63))),"-",Metrics!B59+Metrics!B61-Metrics!B63),"-")</f>
      </c>
      <c r="C64" s="83">
        <f>IFERROR(IF(OR(NOT(ISNUMBER(Metrics!C59)),NOT(ISNUMBER(Metrics!C61)),NOT(ISNUMBER(Metrics!C63))),"-",Metrics!C59+Metrics!C61-Metrics!C63),"-")</f>
      </c>
      <c r="D64" s="83">
        <f>IFERROR(IF(OR(NOT(ISNUMBER(Metrics!D59)),NOT(ISNUMBER(Metrics!D61)),NOT(ISNUMBER(Metrics!D63))),"-",Metrics!D59+Metrics!D61-Metrics!D63),"-")</f>
      </c>
      <c r="E64" s="83">
        <f>IFERROR(IF(OR(NOT(ISNUMBER(Metrics!E59)),NOT(ISNUMBER(Metrics!E61)),NOT(ISNUMBER(Metrics!E63))),"-",Metrics!E59+Metrics!E61-Metrics!E63),"-")</f>
      </c>
      <c r="F64" s="83">
        <f>IFERROR(IF(OR(NOT(ISNUMBER(Metrics!F59)),NOT(ISNUMBER(Metrics!F61)),NOT(ISNUMBER(Metrics!F63))),"-",Metrics!F59+Metrics!F61-Metrics!F63),"-")</f>
      </c>
      <c r="G64" s="83">
        <f>IFERROR(IF(OR(NOT(ISNUMBER(Metrics!G59)),NOT(ISNUMBER(Metrics!G61)),NOT(ISNUMBER(Metrics!G63))),"-",Metrics!G59+Metrics!G61-Metrics!G63),"-")</f>
      </c>
      <c r="H64" s="83">
        <f>IFERROR(IF(OR(NOT(ISNUMBER(Metrics!H59)),NOT(ISNUMBER(Metrics!H61)),NOT(ISNUMBER(Metrics!H63))),"-",Metrics!H59+Metrics!H61-Metrics!H63),"-")</f>
      </c>
      <c r="I64" s="83">
        <f>IFERROR(IF(OR(NOT(ISNUMBER(Metrics!I59)),NOT(ISNUMBER(Metrics!I61)),NOT(ISNUMBER(Metrics!I63))),"-",Metrics!I59+Metrics!I61-Metrics!I63),"-")</f>
      </c>
      <c r="J64" s="83">
        <f>IFERROR(IF(OR(NOT(ISNUMBER(Metrics!J59)),NOT(ISNUMBER(Metrics!J61)),NOT(ISNUMBER(Metrics!J63))),"-",Metrics!J59+Metrics!J61-Metrics!J63),"-")</f>
      </c>
      <c r="K64" s="83">
        <f>IFERROR(IF(OR(NOT(ISNUMBER(Metrics!K59)),NOT(ISNUMBER(Metrics!K61)),NOT(ISNUMBER(Metrics!K63))),"-",Metrics!K59+Metrics!K61-Metrics!K63),"-")</f>
      </c>
      <c r="L64" s="83">
        <f>IFERROR(IF(OR(NOT(ISNUMBER(Metrics!L59)),NOT(ISNUMBER(Metrics!L61)),NOT(ISNUMBER(Metrics!L63))),"-",Metrics!L59+Metrics!L61-Metrics!L63),"-")</f>
      </c>
      <c r="M64" s="261"/>
      <c r="N64" s="269"/>
      <c r="O64" s="269"/>
      <c r="P64" s="269"/>
      <c r="Q64" s="269"/>
      <c r="R64" s="269"/>
      <c r="S64" s="269"/>
      <c r="T64" s="269"/>
      <c r="U64" s="269"/>
      <c r="V64" s="261"/>
      <c r="W64" s="469"/>
      <c r="X64" s="469"/>
      <c r="Y64" s="469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N65" s="2"/>
      <c r="O65" s="2"/>
      <c r="P65" s="2"/>
      <c r="Q65" s="2"/>
      <c r="R65" s="2"/>
      <c r="S65" s="2"/>
      <c r="T65" s="2"/>
      <c r="U65" s="2"/>
    </row>
    <row r="66" ht="19" customHeight="1" s="74">
      <c r="A66" s="226" t="inlineStr">
        <is>
          <t>VALUATION &amp; SHAREHOLDER METRICS</t>
        </is>
      </c>
    </row>
    <row r="67" ht="28" customHeight="1" s="74">
      <c r="A67" s="14" t="inlineStr">
        <is>
          <t>Period</t>
        </is>
      </c>
      <c r="B67" s="14">
        <f>Data!B13</f>
        <v>2016.0</v>
      </c>
      <c r="C67" s="14">
        <f>Data!C13</f>
        <v>2017.0</v>
      </c>
      <c r="D67" s="14">
        <f>Data!D13</f>
        <v>2018.0</v>
      </c>
      <c r="E67" s="14">
        <f>Data!E13</f>
        <v>2019.0</v>
      </c>
      <c r="F67" s="14">
        <f>Data!F13</f>
        <v>2020.0</v>
      </c>
      <c r="G67" s="14">
        <f>Data!G13</f>
        <v>2021.0</v>
      </c>
      <c r="H67" s="14">
        <f>Data!H13</f>
        <v>2022.0</v>
      </c>
      <c r="I67" s="14">
        <f>Data!I13</f>
        <v>2023.0</v>
      </c>
      <c r="J67" s="14">
        <f>Data!J13</f>
        <v>2024.0</v>
      </c>
      <c r="K67" s="14">
        <f>Data!K13</f>
        <v>2025.0</v>
      </c>
      <c r="L67" s="14">
        <f>Data!L13</f>
        <v>2026.0</v>
      </c>
      <c r="N67" s="267" t="inlineStr">
        <is>
          <t xml:space="preserve">Year -2
Q1</t>
        </is>
      </c>
      <c r="O67" s="267" t="inlineStr">
        <is>
          <t xml:space="preserve">Year -2
Q2</t>
        </is>
      </c>
      <c r="P67" s="267" t="inlineStr">
        <is>
          <t xml:space="preserve">Year -2
Q3</t>
        </is>
      </c>
      <c r="Q67" s="267" t="inlineStr">
        <is>
          <t xml:space="preserve">Year -2
Q4</t>
        </is>
      </c>
      <c r="R67" s="267" t="inlineStr">
        <is>
          <t xml:space="preserve">Year -1
Q1</t>
        </is>
      </c>
      <c r="S67" s="267" t="inlineStr">
        <is>
          <t xml:space="preserve">Year -1
Q2</t>
        </is>
      </c>
      <c r="T67" s="267" t="inlineStr">
        <is>
          <t xml:space="preserve">Year -1
Q3</t>
        </is>
      </c>
      <c r="U67" s="267" t="inlineStr">
        <is>
          <t xml:space="preserve">Year -1
Q4</t>
        </is>
      </c>
      <c r="V67" s="267" t="inlineStr">
        <is>
          <t xml:space="preserve">Current Year
Q1</t>
        </is>
      </c>
      <c r="W67" s="267" t="inlineStr">
        <is>
          <t xml:space="preserve">Current Year
Q2</t>
        </is>
      </c>
      <c r="X67" s="267" t="inlineStr">
        <is>
          <t xml:space="preserve">Current Year
Q3</t>
        </is>
      </c>
      <c r="Y67" s="267" t="inlineStr">
        <is>
          <t xml:space="preserve">Current Year
Q4</t>
        </is>
      </c>
    </row>
    <row r="68" ht="15" customHeight="1" s="74">
      <c r="A68" s="15" t="inlineStr">
        <is>
          <t>Return on Capital (ROC)</t>
        </is>
      </c>
      <c r="B68" s="84">
        <f>IFERROR(Data!B22/(Data!B39-Data!B32),"-")</f>
        <v>-0.099211559761491</v>
      </c>
      <c r="C68" s="84">
        <f>IFERROR(Data!C22/(Data!C39-Data!C32),"-")</f>
        <v>0.0040196831041756816</v>
      </c>
      <c r="D68" s="84">
        <f>IFERROR(Data!D22/(Data!D39-Data!D32),"-")</f>
        <v>0.012767461277337475</v>
      </c>
      <c r="E68" s="84">
        <f>IFERROR(Data!E22/(Data!E39-Data!E32),"-")</f>
        <v>0.02026899033907937</v>
      </c>
      <c r="F68" s="84">
        <f>IFERROR(Data!F22/(Data!F39-Data!F32),"-")</f>
        <v>0.006295173700163208</v>
      </c>
      <c r="G68" s="84">
        <f>IFERROR(Data!G22/(Data!G39-Data!G32),"-")</f>
        <v>0.008373976258396981</v>
      </c>
      <c r="H68" s="84">
        <f>IFERROR(Data!H22/(Data!H39-Data!H32),"-")</f>
        <v>0.006472033257747543</v>
      </c>
      <c r="I68" s="84">
        <f>IFERROR(Data!I22/(Data!I39-Data!I32),"-")</f>
        <v>0.011929442559154978</v>
      </c>
      <c r="J68" s="84">
        <f>IFERROR(Data!J22/(Data!J39-Data!J32),"-")</f>
        <v>0.05851989396115802</v>
      </c>
      <c r="K68" s="84">
        <f>IFERROR(Data!K22/(Data!K39-Data!K32),"-")</f>
        <v>0.08104976601871851</v>
      </c>
      <c r="L68" s="84">
        <f>IFERROR(Data!L22/(Data!L39-Data!L32),"-")</f>
        <v>0.0810881837648433</v>
      </c>
      <c r="M68" s="261"/>
      <c r="N68" s="250"/>
      <c r="O68" s="250"/>
      <c r="P68" s="250"/>
      <c r="Q68" s="250"/>
      <c r="R68" s="250"/>
      <c r="S68" s="250"/>
      <c r="T68" s="250"/>
      <c r="U68" s="250"/>
      <c r="V68" s="258"/>
      <c r="W68" s="463"/>
      <c r="X68" s="463"/>
      <c r="Y68" s="463"/>
    </row>
    <row r="69" ht="15" customHeight="1" s="74">
      <c r="A69" s="17" t="inlineStr">
        <is>
          <t>Gross ROE (EBIT/Equity)</t>
        </is>
      </c>
      <c r="B69" s="81">
        <f>IFERROR(Data!B22/Data!B41,"-")</f>
        <v>0.022971418999777928</v>
      </c>
      <c r="C69" s="81">
        <f>IFERROR(Data!C22/Data!C41,"-")</f>
        <v>0.008563588323237725</v>
      </c>
      <c r="D69" s="81">
        <f>IFERROR(Data!D22/Data!D41,"-")</f>
        <v>0.025112435474222924</v>
      </c>
      <c r="E69" s="81">
        <f>IFERROR(Data!E22/Data!E41,"-")</f>
        <v>0.034283883370714516</v>
      </c>
      <c r="F69" s="81">
        <f>IFERROR(Data!F22/Data!F41,"-")</f>
        <v>0.008764940239043825</v>
      </c>
      <c r="G69" s="81">
        <f>IFERROR(Data!G22/Data!G41,"-")</f>
        <v>0.010965705058684598</v>
      </c>
      <c r="H69" s="81">
        <f>IFERROR(Data!H22/Data!H41,"-")</f>
        <v>0.009426983881233765</v>
      </c>
      <c r="I69" s="81">
        <f>IFERROR(Data!I22/Data!I41,"-")</f>
        <v>0.017649377131205127</v>
      </c>
      <c r="J69" s="81">
        <f>IFERROR(Data!J22/Data!J41,"-")</f>
        <v>0.08401233946953693</v>
      </c>
      <c r="K69" s="81">
        <f>IFERROR(Data!K22/Data!K41,"-")</f>
        <v>0.11778072025239894</v>
      </c>
      <c r="L69" s="81">
        <f>IFERROR(Data!L22/Data!L41,"-")</f>
        <v>0.14086436035304858</v>
      </c>
      <c r="M69" s="261"/>
      <c r="N69" s="249"/>
      <c r="O69" s="249"/>
      <c r="P69" s="249"/>
      <c r="Q69" s="249"/>
      <c r="R69" s="249"/>
      <c r="S69" s="249"/>
      <c r="T69" s="249"/>
      <c r="U69" s="249"/>
      <c r="V69" s="256"/>
      <c r="W69" s="463"/>
      <c r="X69" s="463"/>
      <c r="Y69" s="463"/>
    </row>
    <row r="70" ht="15" customHeight="1" s="74">
      <c r="A70" s="15" t="inlineStr">
        <is>
          <t>Hard Assets / Share (PP&amp;E + Cash)</t>
        </is>
      </c>
      <c r="B70" s="28">
        <f>IFERROR((Data!B44+Data!B32)/Data!B28,"-")</f>
        <v>1.750726595903858</v>
      </c>
      <c r="C70" s="28">
        <f>IFERROR((Data!C44+Data!C32)/Data!C28,"-")</f>
        <v>4.847187371914707</v>
      </c>
      <c r="D70" s="28">
        <f>IFERROR((Data!D44+Data!D32)/Data!D28,"-")</f>
        <v>6.112201503407307</v>
      </c>
      <c r="E70" s="28">
        <f>IFERROR((Data!E44+Data!E32)/Data!E28,"-")</f>
        <v>8.249032258064517</v>
      </c>
      <c r="F70" s="28">
        <f>IFERROR((Data!F44+Data!F32)/Data!F28,"-")</f>
        <v>12.143529411764705</v>
      </c>
      <c r="G70" s="28">
        <f>IFERROR((Data!G44+Data!G32)/Data!G28,"-")</f>
        <v>15.510752688172044</v>
      </c>
      <c r="H70" s="28">
        <f>IFERROR((Data!H44+Data!H32)/Data!H28,"-")</f>
        <v>13.708418891170432</v>
      </c>
      <c r="I70" s="28">
        <f>IFERROR((Data!I44+Data!I32)/Data!I28,"-")</f>
        <v>16.25877632898696</v>
      </c>
      <c r="J70" s="28">
        <f>IFERROR((Data!J44+Data!J32)/Data!J28,"-")</f>
        <v>18.173780487804876</v>
      </c>
      <c r="K70" s="28">
        <f>IFERROR((Data!K44+Data!K32)/Data!K28,"-")</f>
        <v>17.72895277207392</v>
      </c>
      <c r="L70" s="28">
        <f>IFERROR((Data!L44+Data!L32)/Data!L28,"-")</f>
        <v>13.268828451882845</v>
      </c>
      <c r="M70" s="261"/>
      <c r="N70" s="247"/>
      <c r="O70" s="247"/>
      <c r="P70" s="247"/>
      <c r="Q70" s="247"/>
      <c r="R70" s="247"/>
      <c r="S70" s="247"/>
      <c r="T70" s="247"/>
      <c r="U70" s="247"/>
      <c r="V70" s="258"/>
      <c r="W70" s="463"/>
      <c r="X70" s="463"/>
      <c r="Y70" s="463"/>
    </row>
    <row r="71" ht="15" customHeight="1" s="74">
      <c r="A71" s="17" t="inlineStr">
        <is>
          <t>Tangible Book Value / Share</t>
        </is>
      </c>
      <c r="B71" s="29">
        <f>IFERROR((Data!B41-Data!B43)/Data!B28,"-")</f>
        <v>7.561235825145432</v>
      </c>
      <c r="C71" s="29">
        <f>IFERROR((Data!C41-Data!C43)/Data!C28,"-")</f>
        <v>0.3374396794136687</v>
      </c>
      <c r="D71" s="29">
        <f>IFERROR((Data!D41-Data!D43)/Data!D28,"-")</f>
        <v>2.823857402279886</v>
      </c>
      <c r="E71" s="29">
        <f>IFERROR((Data!E41-Data!E43)/Data!E28,"-")</f>
        <v>3.5535483870967743</v>
      </c>
      <c r="F71" s="29">
        <f>IFERROR((Data!F41-Data!F43)/Data!F28,"-")</f>
        <v>10.295294117647058</v>
      </c>
      <c r="G71" s="29">
        <f>IFERROR((Data!G41-Data!G43)/Data!G28,"-")</f>
        <v>16.317204301075268</v>
      </c>
      <c r="H71" s="29">
        <f>IFERROR((Data!H41-Data!H43)/Data!H28,"-")</f>
        <v>10.46611909650924</v>
      </c>
      <c r="I71" s="29">
        <f>IFERROR((Data!I41-Data!I43)/Data!I28,"-")</f>
        <v>9.820461384152457</v>
      </c>
      <c r="J71" s="29">
        <f>IFERROR((Data!J41-Data!J43)/Data!J28,"-")</f>
        <v>11.205284552845528</v>
      </c>
      <c r="K71" s="29">
        <f>IFERROR((Data!K41-Data!K43)/Data!K28,"-")</f>
        <v>10.154004106776181</v>
      </c>
      <c r="L71" s="29">
        <f>IFERROR((Data!L41-Data!L43)/Data!L28,"-")</f>
        <v>1.256276150627615</v>
      </c>
      <c r="M71" s="261"/>
      <c r="N71" s="248"/>
      <c r="O71" s="248"/>
      <c r="P71" s="248"/>
      <c r="Q71" s="248"/>
      <c r="R71" s="248"/>
      <c r="S71" s="248"/>
      <c r="T71" s="248"/>
      <c r="U71" s="248"/>
      <c r="V71" s="256"/>
      <c r="W71" s="463"/>
      <c r="X71" s="463"/>
      <c r="Y71" s="463"/>
    </row>
    <row r="72" ht="15" customHeight="1" s="74">
      <c r="A72" s="15" t="inlineStr">
        <is>
          <t>Asset Turnover</t>
        </is>
      </c>
      <c r="B72" s="28">
        <f>IFERROR(IF(OR(NOT(ISNUMBER(Data!B14)),NOT(ISNUMBER(Data!B39))),"-",Data!B14/Data!B39),"-")</f>
      </c>
      <c r="C72" s="28">
        <f>IFERROR(IF(OR(NOT(ISNUMBER(Data!C14)),NOT(ISNUMBER(Data!C39))),"-",Data!C14/Data!C39),"-")</f>
        <v>0.4772260873704139</v>
      </c>
      <c r="D72" s="28">
        <f>IFERROR(IF(OR(NOT(ISNUMBER(Data!D14)),NOT(ISNUMBER(Data!D39))),"-",Data!D14/Data!D39),"-")</f>
        <v>0.4988153624674807</v>
      </c>
      <c r="E72" s="28">
        <f>IFERROR(IF(OR(NOT(ISNUMBER(Data!E14)),NOT(ISNUMBER(Data!E39))),"-",Data!E14/Data!E39),"-")</f>
        <v>0.43211764323128476</v>
      </c>
      <c r="F72" s="28">
        <f>IFERROR(IF(OR(NOT(ISNUMBER(Data!F14)),NOT(ISNUMBER(Data!F39))),"-",Data!F14/Data!F39),"-")</f>
        <v>0.3101621739288176</v>
      </c>
      <c r="G72" s="28">
        <f>IFERROR(IF(OR(NOT(ISNUMBER(Data!G14)),NOT(ISNUMBER(Data!G39))),"-",Data!G14/Data!G39),"-")</f>
        <v>0.32053815176241685</v>
      </c>
      <c r="H72" s="28">
        <f>IFERROR(IF(OR(NOT(ISNUMBER(Data!H14)),NOT(ISNUMBER(Data!H39))),"-",Data!H14/Data!H39),"-")</f>
        <v>0.27825100568223593</v>
      </c>
      <c r="I72" s="28">
        <f>IFERROR(IF(OR(NOT(ISNUMBER(Data!I14)),NOT(ISNUMBER(Data!I39))),"-",Data!I14/Data!I39),"-")</f>
        <v>0.31717063399730905</v>
      </c>
      <c r="J72" s="28">
        <f>IFERROR(IF(OR(NOT(ISNUMBER(Data!J14)),NOT(ISNUMBER(Data!J39))),"-",Data!J14/Data!J39),"-")</f>
        <v>0.3491880628712822</v>
      </c>
      <c r="K72" s="28">
        <f>IFERROR(IF(OR(NOT(ISNUMBER(Data!K14)),NOT(ISNUMBER(Data!K39))),"-",Data!K14/Data!K39),"-")</f>
        <v>0.36816998290066844</v>
      </c>
      <c r="L72" s="28">
        <f>IFERROR(IF(OR(NOT(ISNUMBER(Data!L14)),NOT(ISNUMBER(Data!L39))),"-",Data!L14/Data!L39),"-")</f>
        <v>0.3697520146030898</v>
      </c>
      <c r="M72" s="261"/>
      <c r="N72" s="247"/>
      <c r="O72" s="247"/>
      <c r="P72" s="247"/>
      <c r="Q72" s="247">
        <f>IFERROR(IF(OR(NOT(ISNUMBER(Data!N14)),NOT(ISNUMBER(Data!O14)),NOT(ISNUMBER(Data!P14)),NOT(ISNUMBER(Data!Q14)),NOT(ISNUMBER(Data!Q39))),"-",(Data!N14+Data!O14+Data!P14+Data!Q14)/Data!Q39),"-")</f>
        <v>0.36816998290066844</v>
      </c>
      <c r="R72" s="247">
        <f>IFERROR(IF(OR(NOT(ISNUMBER(Data!O14)),NOT(ISNUMBER(Data!P14)),NOT(ISNUMBER(Data!Q14)),NOT(ISNUMBER(Data!R14)),NOT(ISNUMBER(Data!R39))),"-",(Data!O14+Data!P14+Data!Q14+Data!R14)/Data!R39),"-")</f>
        <v>0.3913497616874556</v>
      </c>
      <c r="S72" s="247">
        <f>IFERROR(IF(OR(NOT(ISNUMBER(Data!P14)),NOT(ISNUMBER(Data!Q14)),NOT(ISNUMBER(Data!R14)),NOT(ISNUMBER(Data!S14)),NOT(ISNUMBER(Data!S39))),"-",(Data!P14+Data!Q14+Data!R14+Data!S14)/Data!S39),"-")</f>
        <v>0.4048456027794574</v>
      </c>
      <c r="T72" s="247">
        <f>IFERROR(IF(OR(NOT(ISNUMBER(Data!Q14)),NOT(ISNUMBER(Data!R14)),NOT(ISNUMBER(Data!S14)),NOT(ISNUMBER(Data!T14)),NOT(ISNUMBER(Data!T39))),"-",(Data!Q14+Data!R14+Data!S14+Data!T14)/Data!T39),"-")</f>
        <v>0.4237471621962499</v>
      </c>
      <c r="U72" s="247">
        <f>IFERROR(IF(OR(NOT(ISNUMBER(Data!R14)),NOT(ISNUMBER(Data!S14)),NOT(ISNUMBER(Data!T14)),NOT(ISNUMBER(Data!U14)),NOT(ISNUMBER(Data!U39))),"-",(Data!R14+Data!S14+Data!T14+Data!U14)/Data!U39),"-")</f>
        <v>0.3697520146030898</v>
      </c>
      <c r="V72" s="258">
        <f>IFERROR(IF(OR(NOT(ISNUMBER(Data!S14)),NOT(ISNUMBER(Data!T14)),NOT(ISNUMBER(Data!U14)),NOT(ISNUMBER(Data!V14)),NOT(ISNUMBER(Data!V39))),"-",(Data!S14+Data!T14+Data!U14+Data!V14)/Data!V39),"-")</f>
        <v>0.4014716910386202</v>
      </c>
      <c r="W72" s="463">
        <f>IFERROR(IF(OR(NOT(ISNUMBER(Data!T14)),NOT(ISNUMBER(Data!U14)),NOT(ISNUMBER(Data!V14)),NOT(ISNUMBER(Data!W14)),NOT(ISNUMBER(Data!W39))),"-",(Data!T14+Data!U14+Data!V14+Data!W14)/Data!W39),"-")</f>
      </c>
      <c r="X72" s="463">
        <f>IFERROR(IF(OR(NOT(ISNUMBER(Data!U14)),NOT(ISNUMBER(Data!V14)),NOT(ISNUMBER(Data!W14)),NOT(ISNUMBER(Data!X14)),NOT(ISNUMBER(Data!X39))),"-",(Data!U14+Data!V14+Data!W14+Data!X14)/Data!X39),"-")</f>
      </c>
      <c r="Y72" s="463">
        <f>IFERROR(IF(OR(NOT(ISNUMBER(Data!V14)),NOT(ISNUMBER(Data!W14)),NOT(ISNUMBER(Data!X14)),NOT(ISNUMBER(Data!Y14)),NOT(ISNUMBER(Data!Y39))),"-",(Data!V14+Data!W14+Data!X14+Data!Y14)/Data!Y39),"-")</f>
      </c>
    </row>
    <row r="73" ht="15" customHeight="1" s="74">
      <c r="A73" s="17" t="inlineStr">
        <is>
          <t>Dividend Payout Ratio</t>
        </is>
      </c>
      <c r="B73" s="81">
        <f>IFERROR(IF(OR(NOT(ISNUMBER(Data!B55)),NOT(ISNUMBER(Data!B26)),Data!B55=0),"-",ABS(Data!B55)/Data!B26),"-")</f>
      </c>
      <c r="C73" s="81">
        <f>IFERROR(IF(OR(NOT(ISNUMBER(Data!C55)),NOT(ISNUMBER(Data!C26)),Data!C55=0),"-",ABS(Data!C55)/Data!C26),"-")</f>
      </c>
      <c r="D73" s="81">
        <f>IFERROR(IF(OR(NOT(ISNUMBER(Data!D55)),NOT(ISNUMBER(Data!D26)),Data!D55=0),"-",ABS(Data!D55)/Data!D26),"-")</f>
      </c>
      <c r="E73" s="81">
        <f>IFERROR(IF(OR(NOT(ISNUMBER(Data!E55)),NOT(ISNUMBER(Data!E26)),Data!E55=0),"-",ABS(Data!E55)/Data!E26),"-")</f>
      </c>
      <c r="F73" s="81">
        <f>IFERROR(IF(OR(NOT(ISNUMBER(Data!F55)),NOT(ISNUMBER(Data!F26)),Data!F55=0),"-",ABS(Data!F55)/Data!F26),"-")</f>
      </c>
      <c r="G73" s="81">
        <f>IFERROR(IF(OR(NOT(ISNUMBER(Data!G55)),NOT(ISNUMBER(Data!G26)),Data!G55=0),"-",ABS(Data!G55)/Data!G26),"-")</f>
      </c>
      <c r="H73" s="81">
        <f>IFERROR(IF(OR(NOT(ISNUMBER(Data!H55)),NOT(ISNUMBER(Data!H26)),Data!H55=0),"-",ABS(Data!H55)/Data!H26),"-")</f>
      </c>
      <c r="I73" s="81">
        <f>IFERROR(IF(OR(NOT(ISNUMBER(Data!I55)),NOT(ISNUMBER(Data!I26)),Data!I55=0),"-",ABS(Data!I55)/Data!I26),"-")</f>
      </c>
      <c r="J73" s="81">
        <f>IFERROR(IF(OR(NOT(ISNUMBER(Data!J55)),NOT(ISNUMBER(Data!J26)),Data!J55=0),"-",ABS(Data!J55)/Data!J26),"-")</f>
      </c>
      <c r="K73" s="81">
        <f>IFERROR(IF(OR(NOT(ISNUMBER(Data!K55)),NOT(ISNUMBER(Data!K26)),Data!K55=0),"-",ABS(Data!K55)/Data!K26),"-")</f>
        <v>0.24802323705018559</v>
      </c>
      <c r="L73" s="81">
        <f>IFERROR(IF(OR(NOT(ISNUMBER(Data!L55)),NOT(ISNUMBER(Data!L26)),Data!L55=0),"-",ABS(Data!L55)/Data!L26),"-")</f>
        <v>0.2128201689687542</v>
      </c>
      <c r="M73" s="261"/>
      <c r="N73" s="249"/>
      <c r="O73" s="249"/>
      <c r="P73" s="249"/>
      <c r="Q73" s="249">
        <f>IFERROR(IF(OR(NOT(ISNUMBER(Data!N55)),NOT(ISNUMBER(Data!O55)),NOT(ISNUMBER(Data!P55)),NOT(ISNUMBER(Data!Q55)),NOT(ISNUMBER(Data!N26)),NOT(ISNUMBER(Data!O26)),NOT(ISNUMBER(Data!P26)),NOT(ISNUMBER(Data!Q26)),(Data!N55+Data!O55+Data!P55+Data!Q55)=0),"-",ABS((Data!N55+Data!O55+Data!P55+Data!Q55))/(Data!N26+Data!O26+Data!P26+Data!Q26)),"-")</f>
        <v>0.24802323705018559</v>
      </c>
      <c r="R73" s="249">
        <f>IFERROR(IF(OR(NOT(ISNUMBER(Data!O55)),NOT(ISNUMBER(Data!P55)),NOT(ISNUMBER(Data!Q55)),NOT(ISNUMBER(Data!R55)),NOT(ISNUMBER(Data!O26)),NOT(ISNUMBER(Data!P26)),NOT(ISNUMBER(Data!Q26)),NOT(ISNUMBER(Data!R26)),(Data!O55+Data!P55+Data!Q55+Data!R55)=0),"-",ABS((Data!O55+Data!P55+Data!Q55+Data!R55))/(Data!O26+Data!P26+Data!Q26+Data!R26)),"-")</f>
        <v>0.2499597099113618</v>
      </c>
      <c r="S73" s="249">
        <f>IFERROR(IF(OR(NOT(ISNUMBER(Data!P55)),NOT(ISNUMBER(Data!Q55)),NOT(ISNUMBER(Data!R55)),NOT(ISNUMBER(Data!S55)),NOT(ISNUMBER(Data!P26)),NOT(ISNUMBER(Data!Q26)),NOT(ISNUMBER(Data!R26)),NOT(ISNUMBER(Data!S26)),(Data!P55+Data!Q55+Data!R55+Data!S55)=0),"-",ABS((Data!P55+Data!Q55+Data!R55+Data!S55))/(Data!P26+Data!Q26+Data!R26+Data!S26)),"-")</f>
        <v>0.235029266096353</v>
      </c>
      <c r="T73" s="249">
        <f>IFERROR(IF(OR(NOT(ISNUMBER(Data!Q55)),NOT(ISNUMBER(Data!R55)),NOT(ISNUMBER(Data!S55)),NOT(ISNUMBER(Data!T55)),NOT(ISNUMBER(Data!Q26)),NOT(ISNUMBER(Data!R26)),NOT(ISNUMBER(Data!S26)),NOT(ISNUMBER(Data!T26)),(Data!Q55+Data!R55+Data!S55+Data!T55)=0),"-",ABS((Data!Q55+Data!R55+Data!S55+Data!T55))/(Data!Q26+Data!R26+Data!S26+Data!T26)),"-")</f>
        <v>0.21863749653835501</v>
      </c>
      <c r="U73" s="249">
        <f>IFERROR(IF(OR(NOT(ISNUMBER(Data!R55)),NOT(ISNUMBER(Data!S55)),NOT(ISNUMBER(Data!T55)),NOT(ISNUMBER(Data!U55)),NOT(ISNUMBER(Data!R26)),NOT(ISNUMBER(Data!S26)),NOT(ISNUMBER(Data!T26)),NOT(ISNUMBER(Data!U26)),(Data!R55+Data!S55+Data!T55+Data!U55)=0),"-",ABS((Data!R55+Data!S55+Data!T55+Data!U55))/(Data!R26+Data!S26+Data!T26+Data!U26)),"-")</f>
        <v>0.2128201689687542</v>
      </c>
      <c r="V73" s="256">
        <f>IFERROR(IF(OR(NOT(ISNUMBER(Data!S55)),NOT(ISNUMBER(Data!T55)),NOT(ISNUMBER(Data!U55)),NOT(ISNUMBER(Data!V55)),NOT(ISNUMBER(Data!S26)),NOT(ISNUMBER(Data!T26)),NOT(ISNUMBER(Data!U26)),NOT(ISNUMBER(Data!V26)),(Data!S55+Data!T55+Data!U55+Data!V55)=0),"-",ABS((Data!S55+Data!T55+Data!U55+Data!V55))/(Data!S26+Data!T26+Data!U26+Data!V26)),"-")</f>
        <v>0.19319456562383147</v>
      </c>
      <c r="W73" s="463">
        <f>IFERROR(IF(OR(NOT(ISNUMBER(Data!T55)),NOT(ISNUMBER(Data!U55)),NOT(ISNUMBER(Data!V55)),NOT(ISNUMBER(Data!W55)),NOT(ISNUMBER(Data!T26)),NOT(ISNUMBER(Data!U26)),NOT(ISNUMBER(Data!V26)),NOT(ISNUMBER(Data!W26)),(Data!T55+Data!U55+Data!V55+Data!W55)=0),"-",ABS((Data!T55+Data!U55+Data!V55+Data!W55))/(Data!T26+Data!U26+Data!V26+Data!W26)),"-")</f>
      </c>
      <c r="X73" s="463">
        <f>IFERROR(IF(OR(NOT(ISNUMBER(Data!U55)),NOT(ISNUMBER(Data!V55)),NOT(ISNUMBER(Data!W55)),NOT(ISNUMBER(Data!X55)),NOT(ISNUMBER(Data!U26)),NOT(ISNUMBER(Data!V26)),NOT(ISNUMBER(Data!W26)),NOT(ISNUMBER(Data!X26)),(Data!U55+Data!V55+Data!W55+Data!X55)=0),"-",ABS((Data!U55+Data!V55+Data!W55+Data!X55))/(Data!U26+Data!V26+Data!W26+Data!X26)),"-")</f>
      </c>
      <c r="Y73" s="463">
        <f>IFERROR(IF(OR(NOT(ISNUMBER(Data!V55)),NOT(ISNUMBER(Data!W55)),NOT(ISNUMBER(Data!X55)),NOT(ISNUMBER(Data!Y55)),NOT(ISNUMBER(Data!V26)),NOT(ISNUMBER(Data!W26)),NOT(ISNUMBER(Data!X26)),NOT(ISNUMBER(Data!Y26)),(Data!V55+Data!W55+Data!X55+Data!Y55)=0),"-",ABS((Data!V55+Data!W55+Data!X55+Data!Y55))/(Data!V26+Data!W26+Data!X26+Data!Y26)),"-")</f>
      </c>
    </row>
    <row r="74" ht="15" customHeight="1" s="74">
      <c r="A74" s="15" t="inlineStr">
        <is>
          <t>SBC / Revenue</t>
        </is>
      </c>
      <c r="B74" s="84">
        <f>IFERROR(Data!B54/Data!B14,"-")</f>
        <v>0.08903686336245893</v>
      </c>
      <c r="C74" s="84">
        <f>IFERROR(Data!C54/Data!C14,"-")</f>
        <v>0.09775602527364208</v>
      </c>
      <c r="D74" s="84">
        <f>IFERROR(Data!D54/Data!D14,"-")</f>
        <v>0.0951347193113901</v>
      </c>
      <c r="E74" s="84">
        <f>IFERROR(Data!E54/Data!E14,"-")</f>
        <v>0.09659689805752146</v>
      </c>
      <c r="F74" s="84">
        <f>IFERROR(Data!F54/Data!F14,"-")</f>
        <v>0.10439817522517253</v>
      </c>
      <c r="G74" s="84">
        <f>IFERROR(Data!G54/Data!G14,"-")</f>
        <v>0.10304912478825522</v>
      </c>
      <c r="H74" s="84">
        <f>IFERROR(Data!H54/Data!H14,"-")</f>
        <v>0.10489959232975993</v>
      </c>
      <c r="I74" s="84">
        <f>IFERROR(Data!I54/Data!I14,"-")</f>
        <v>0.10458662924215362</v>
      </c>
      <c r="J74" s="84">
        <f>IFERROR(Data!J54/Data!J14,"-")</f>
        <v>0.07995524571822016</v>
      </c>
      <c r="K74" s="84">
        <f>IFERROR(Data!K54/Data!K14,"-")</f>
        <v>0.08399525003298589</v>
      </c>
      <c r="L74" s="84">
        <f>IFERROR(Data!L54/Data!L14,"-")</f>
        <v>0.08450331125827815</v>
      </c>
      <c r="M74" s="261"/>
      <c r="N74" s="250"/>
      <c r="O74" s="250"/>
      <c r="P74" s="250"/>
      <c r="Q74" s="250"/>
      <c r="R74" s="250"/>
      <c r="S74" s="250"/>
      <c r="T74" s="250"/>
      <c r="U74" s="250"/>
      <c r="V74" s="258"/>
      <c r="W74" s="463"/>
      <c r="X74" s="463"/>
      <c r="Y74" s="463"/>
    </row>
    <row r="75" ht="15" customHeight="1" s="74">
      <c r="A75" s="17" t="inlineStr">
        <is>
          <t>SBC / FCF</t>
        </is>
      </c>
      <c r="B75" s="81">
        <f>IFERROR(Data!B54/Data!B53,"-")</f>
        <v>0.42780762536889105</v>
      </c>
      <c r="C75" s="81">
        <f>IFERROR(Data!C54/Data!C53,"-")</f>
        <v>0.4830689419634445</v>
      </c>
      <c r="D75" s="81">
        <f>IFERROR(Data!D54/Data!D53,"-")</f>
        <v>0.452377970705165</v>
      </c>
      <c r="E75" s="81">
        <f>IFERROR(Data!E54/Data!E53,"-")</f>
        <v>0.4577238672850517</v>
      </c>
      <c r="F75" s="81">
        <f>IFERROR(Data!F54/Data!F53,"-")</f>
        <v>0.48400216919739697</v>
      </c>
      <c r="G75" s="81">
        <f>IFERROR(Data!G54/Data!G53,"-")</f>
        <v>0.5353214373013933</v>
      </c>
      <c r="H75" s="81">
        <f>IFERROR(Data!H54/Data!H53,"-")</f>
        <v>0.5260268786674238</v>
      </c>
      <c r="I75" s="81">
        <f>IFERROR(Data!I54/Data!I53,"-")</f>
        <v>0.5194044036115951</v>
      </c>
      <c r="J75" s="81">
        <f>IFERROR(Data!J54/Data!J53,"-")</f>
        <v>0.2934301958307012</v>
      </c>
      <c r="K75" s="81">
        <f>IFERROR(Data!K54/Data!K53,"-")</f>
        <v>0.2559916358372205</v>
      </c>
      <c r="L75" s="81">
        <f>IFERROR(Data!L54/Data!L53,"-")</f>
        <v>0.24364671573392585</v>
      </c>
      <c r="M75" s="261"/>
      <c r="N75" s="249"/>
      <c r="O75" s="249"/>
      <c r="P75" s="249"/>
      <c r="Q75" s="249"/>
      <c r="R75" s="249"/>
      <c r="S75" s="249"/>
      <c r="T75" s="249"/>
      <c r="U75" s="249"/>
      <c r="V75" s="256"/>
      <c r="W75" s="256"/>
      <c r="X75" s="256"/>
      <c r="Y75" s="256"/>
    </row>
    <row r="76" ht="15" customHeight="1" s="74">
      <c r="A76" s="15" t="inlineStr">
        <is>
          <t>FCF Conversion (FCF/NI)</t>
        </is>
      </c>
      <c r="B76" s="84">
        <f>IFERROR(IF(OR(NOT(ISNUMBER(Data!B53)),NOT(ISNUMBER(Data!B26))),"-",Data!B53/Data!B26),"-")</f>
        <v>-29.25831822207228</v>
      </c>
      <c r="C76" s="84">
        <f>IFERROR(IF(OR(NOT(ISNUMBER(Data!C53)),NOT(ISNUMBER(Data!C26))),"-",Data!C53/Data!C26),"-")</f>
        <v>9.453994833882604</v>
      </c>
      <c r="D76" s="84">
        <f>IFERROR(IF(OR(NOT(ISNUMBER(Data!D53)),NOT(ISNUMBER(Data!D26))),"-",Data!D53/Data!D26),"-")</f>
        <v>17.2887713958487</v>
      </c>
      <c r="E76" s="84">
        <f>IFERROR(IF(OR(NOT(ISNUMBER(Data!E53)),NOT(ISNUMBER(Data!E26))),"-",Data!E53/Data!E26),"-")</f>
        <v>2.5252252252252254</v>
      </c>
      <c r="F76" s="84">
        <f>IFERROR(IF(OR(NOT(ISNUMBER(Data!F53)),NOT(ISNUMBER(Data!F26))),"-",Data!F53/Data!F26),"-")</f>
        <v>29.26984126984127</v>
      </c>
      <c r="G76" s="84">
        <f>IFERROR(IF(OR(NOT(ISNUMBER(Data!G53)),NOT(ISNUMBER(Data!G26))),"-",Data!G53/Data!G26),"-")</f>
        <v>1.0046660117878192</v>
      </c>
      <c r="H76" s="84">
        <f>IFERROR(IF(OR(NOT(ISNUMBER(Data!H53)),NOT(ISNUMBER(Data!H26))),"-",Data!H53/Data!H26),"-")</f>
        <v>3.6585872576177287</v>
      </c>
      <c r="I76" s="84">
        <f>IFERROR(IF(OR(NOT(ISNUMBER(Data!I53)),NOT(ISNUMBER(Data!I26))),"-",Data!I53/Data!I26),"-")</f>
        <v>30.35096153846154</v>
      </c>
      <c r="J76" s="84">
        <f>IFERROR(IF(OR(NOT(ISNUMBER(Data!J53)),NOT(ISNUMBER(Data!J26))),"-",Data!J53/Data!J26),"-")</f>
        <v>2.29642166344294</v>
      </c>
      <c r="K76" s="84">
        <f>IFERROR(IF(OR(NOT(ISNUMBER(Data!K53)),NOT(ISNUMBER(Data!K26))),"-",Data!K53/Data!K26),"-")</f>
        <v>2.0064547361626595</v>
      </c>
      <c r="L76" s="84">
        <f>IFERROR(IF(OR(NOT(ISNUMBER(Data!L53)),NOT(ISNUMBER(Data!L26))),"-",Data!L53/Data!L26),"-")</f>
        <v>1.9313396808367977</v>
      </c>
      <c r="M76" s="261"/>
      <c r="N76" s="250"/>
      <c r="O76" s="250"/>
      <c r="P76" s="250"/>
      <c r="Q76" s="250">
        <f>IFERROR(IF(OR(NOT(ISNUMBER(Data!N53)),NOT(ISNUMBER(Data!O53)),NOT(ISNUMBER(Data!P53)),NOT(ISNUMBER(Data!Q53)),NOT(ISNUMBER(Data!N26)),NOT(ISNUMBER(Data!O26)),NOT(ISNUMBER(Data!P26)),NOT(ISNUMBER(Data!Q26))),"-",(Data!N53+Data!O53+Data!P53+Data!Q53)/(Data!N26+Data!O26+Data!P26+Data!Q26)),"-")</f>
        <v>2.0064547361626595</v>
      </c>
      <c r="R76" s="250">
        <f>IFERROR(IF(OR(NOT(ISNUMBER(Data!O53)),NOT(ISNUMBER(Data!P53)),NOT(ISNUMBER(Data!Q53)),NOT(ISNUMBER(Data!R53)),NOT(ISNUMBER(Data!O26)),NOT(ISNUMBER(Data!P26)),NOT(ISNUMBER(Data!Q26)),NOT(ISNUMBER(Data!R26))),"-",(Data!O53+Data!P53+Data!Q53+Data!R53)/(Data!O26+Data!P26+Data!Q26+Data!R26)),"-")</f>
        <v>2.0381950040290087</v>
      </c>
      <c r="S76" s="250">
        <f>IFERROR(IF(OR(NOT(ISNUMBER(Data!P53)),NOT(ISNUMBER(Data!Q53)),NOT(ISNUMBER(Data!R53)),NOT(ISNUMBER(Data!S53)),NOT(ISNUMBER(Data!P26)),NOT(ISNUMBER(Data!Q26)),NOT(ISNUMBER(Data!R26)),NOT(ISNUMBER(Data!S26))),"-",(Data!P53+Data!Q53+Data!R53+Data!S53)/(Data!P26+Data!Q26+Data!R26+Data!S26)),"-")</f>
        <v>1.8755815698634248</v>
      </c>
      <c r="T76" s="250">
        <f>IFERROR(IF(OR(NOT(ISNUMBER(Data!Q53)),NOT(ISNUMBER(Data!R53)),NOT(ISNUMBER(Data!S53)),NOT(ISNUMBER(Data!T53)),NOT(ISNUMBER(Data!Q26)),NOT(ISNUMBER(Data!R26)),NOT(ISNUMBER(Data!S26)),NOT(ISNUMBER(Data!T26))),"-",(Data!Q53+Data!R53+Data!S53+Data!T53)/(Data!Q26+Data!R26+Data!S26+Data!T26)),"-")</f>
        <v>1.7855164774300747</v>
      </c>
      <c r="U76" s="250">
        <f>IFERROR(IF(OR(NOT(ISNUMBER(Data!R53)),NOT(ISNUMBER(Data!S53)),NOT(ISNUMBER(Data!T53)),NOT(ISNUMBER(Data!U53)),NOT(ISNUMBER(Data!R26)),NOT(ISNUMBER(Data!S26)),NOT(ISNUMBER(Data!T26)),NOT(ISNUMBER(Data!U26))),"-",(Data!R53+Data!S53+Data!T53+Data!U53)/(Data!R26+Data!S26+Data!T26+Data!U26)),"-")</f>
        <v>1.9313396808367977</v>
      </c>
      <c r="V76" s="258">
        <f>IFERROR(IF(OR(NOT(ISNUMBER(Data!S53)),NOT(ISNUMBER(Data!T53)),NOT(ISNUMBER(Data!U53)),NOT(ISNUMBER(Data!V53)),NOT(ISNUMBER(Data!S26)),NOT(ISNUMBER(Data!T26)),NOT(ISNUMBER(Data!U26)),NOT(ISNUMBER(Data!V26))),"-",(Data!S53+Data!T53+Data!U53+Data!V53)/(Data!S26+Data!T26+Data!U26+Data!V26)),"-")</f>
        <v>1.8273713074909634</v>
      </c>
      <c r="W76" s="463">
        <f>IFERROR(IF(OR(NOT(ISNUMBER(Data!T53)),NOT(ISNUMBER(Data!U53)),NOT(ISNUMBER(Data!V53)),NOT(ISNUMBER(Data!W53)),NOT(ISNUMBER(Data!T26)),NOT(ISNUMBER(Data!U26)),NOT(ISNUMBER(Data!V26)),NOT(ISNUMBER(Data!W26))),"-",(Data!T53+Data!U53+Data!V53+Data!W53)/(Data!T26+Data!U26+Data!V26+Data!W26)),"-")</f>
      </c>
      <c r="X76" s="463">
        <f>IFERROR(IF(OR(NOT(ISNUMBER(Data!U53)),NOT(ISNUMBER(Data!V53)),NOT(ISNUMBER(Data!W53)),NOT(ISNUMBER(Data!X53)),NOT(ISNUMBER(Data!U26)),NOT(ISNUMBER(Data!V26)),NOT(ISNUMBER(Data!W26)),NOT(ISNUMBER(Data!X26))),"-",(Data!U53+Data!V53+Data!W53+Data!X53)/(Data!U26+Data!V26+Data!W26+Data!X26)),"-")</f>
      </c>
      <c r="Y76" s="463">
        <f>IFERROR(IF(OR(NOT(ISNUMBER(Data!V53)),NOT(ISNUMBER(Data!W53)),NOT(ISNUMBER(Data!X53)),NOT(ISNUMBER(Data!Y53)),NOT(ISNUMBER(Data!V26)),NOT(ISNUMBER(Data!W26)),NOT(ISNUMBER(Data!X26)),NOT(ISNUMBER(Data!Y26))),"-",(Data!V53+Data!W53+Data!X53+Data!Y53)/(Data!V26+Data!W26+Data!X26+Data!Y26)),"-")</f>
      </c>
    </row>
    <row r="77" ht="15" customHeight="1" s="74">
      <c r="A77" s="17" t="inlineStr">
        <is>
          <t>CapEx / Revenue</t>
        </is>
      </c>
      <c r="B77" s="81">
        <f>IFERROR(IF(OR(NOT(ISNUMBER(Data!B52)),NOT(ISNUMBER(Data!B14)),Data!B52=0),"-",ABS(Data!B52)/Data!B14),"-")</f>
        <v>0.04266788416634469</v>
      </c>
      <c r="C77" s="81">
        <f>IFERROR(IF(OR(NOT(ISNUMBER(Data!C52)),NOT(ISNUMBER(Data!C14)),Data!C52=0),"-",ABS(Data!C52)/Data!C14),"-")</f>
        <v>0.05528585373852</v>
      </c>
      <c r="D77" s="81">
        <f>IFERROR(IF(OR(NOT(ISNUMBER(Data!D52)),NOT(ISNUMBER(Data!D14)),Data!D52=0),"-",ABS(Data!D52)/Data!D14),"-")</f>
        <v>0.05095671646177505</v>
      </c>
      <c r="E77" s="81">
        <f>IFERROR(IF(OR(NOT(ISNUMBER(Data!E52)),NOT(ISNUMBER(Data!E14)),Data!E52=0),"-",ABS(Data!E52)/Data!E14),"-")</f>
        <v>0.04479747026050294</v>
      </c>
      <c r="F77" s="81">
        <f>IFERROR(IF(OR(NOT(ISNUMBER(Data!F52)),NOT(ISNUMBER(Data!F14)),Data!F52=0),"-",ABS(Data!F52)/Data!F14),"-")</f>
        <v>0.03760673763013218</v>
      </c>
      <c r="G77" s="81">
        <f>IFERROR(IF(OR(NOT(ISNUMBER(Data!G52)),NOT(ISNUMBER(Data!G14)),Data!G52=0),"-",ABS(Data!G52)/Data!G14),"-")</f>
        <v>0.033408620365142104</v>
      </c>
      <c r="H77" s="81">
        <f>IFERROR(IF(OR(NOT(ISNUMBER(Data!H52)),NOT(ISNUMBER(Data!H14)),Data!H52=0),"-",ABS(Data!H52)/Data!H14),"-")</f>
        <v>0.027064774271478183</v>
      </c>
      <c r="I77" s="81">
        <f>IFERROR(IF(OR(NOT(ISNUMBER(Data!I52)),NOT(ISNUMBER(Data!I14)),Data!I52=0),"-",ABS(Data!I52)/Data!I14),"-")</f>
        <v>0.025452921663689718</v>
      </c>
      <c r="J77" s="81">
        <f>IFERROR(IF(OR(NOT(ISNUMBER(Data!J52)),NOT(ISNUMBER(Data!J14)),Data!J52=0),"-",ABS(Data!J52)/Data!J14),"-")</f>
        <v>0.021114840634592763</v>
      </c>
      <c r="K77" s="81">
        <f>IFERROR(IF(OR(NOT(ISNUMBER(Data!K52)),NOT(ISNUMBER(Data!K14)),Data!K52=0),"-",ABS(Data!K52)/Data!K14),"-")</f>
        <v>0.017363768307164535</v>
      </c>
      <c r="L77" s="81">
        <f>IFERROR(IF(OR(NOT(ISNUMBER(Data!L52)),NOT(ISNUMBER(Data!L14)),Data!L52=0),"-",ABS(Data!L52)/Data!L14),"-")</f>
        <v>0.014304635761589404</v>
      </c>
      <c r="M77" s="261"/>
      <c r="N77" s="249"/>
      <c r="O77" s="249"/>
      <c r="P77" s="249"/>
      <c r="Q77" s="249"/>
      <c r="R77" s="249"/>
      <c r="S77" s="249"/>
      <c r="T77" s="249"/>
      <c r="U77" s="249"/>
      <c r="V77" s="256"/>
      <c r="W77" s="463"/>
      <c r="X77" s="463"/>
      <c r="Y77" s="463"/>
    </row>
    <row r="78" ht="15" customHeight="1" s="74">
      <c r="A78" s="15" t="inlineStr">
        <is>
          <t>CapEx / D&amp;A</t>
        </is>
      </c>
      <c r="B78" s="83">
        <f>IFERROR(IF(OR(NOT(ISNUMBER(Data!B52)),NOT(ISNUMBER(Data!B21)),Data!B52=0),"-",ABS(Data!B52)/Data!B21),"-")</f>
        <v>0.5410860675225868</v>
      </c>
      <c r="C78" s="83">
        <f>IFERROR(IF(OR(NOT(ISNUMBER(Data!C52)),NOT(ISNUMBER(Data!C21)),Data!C52=0),"-",ABS(Data!C52)/Data!C21),"-")</f>
        <v>0.7338262856962096</v>
      </c>
      <c r="D78" s="83">
        <f>IFERROR(IF(OR(NOT(ISNUMBER(Data!D52)),NOT(ISNUMBER(Data!D21)),Data!D52=0),"-",ABS(Data!D52)/Data!D21),"-")</f>
        <v>0.7095761360616529</v>
      </c>
      <c r="E78" s="83">
        <f>IFERROR(IF(OR(NOT(ISNUMBER(Data!E52)),NOT(ISNUMBER(Data!E21)),Data!E52=0),"-",ABS(Data!E52)/Data!E21),"-")</f>
        <v>0.6185031185031185</v>
      </c>
      <c r="F78" s="83">
        <f>IFERROR(IF(OR(NOT(ISNUMBER(Data!F52)),NOT(ISNUMBER(Data!F21)),Data!F52=0),"-",ABS(Data!F52)/Data!F21),"-")</f>
        <v>0.3011709601873536</v>
      </c>
      <c r="G78" s="83">
        <f>IFERROR(IF(OR(NOT(ISNUMBER(Data!G52)),NOT(ISNUMBER(Data!G21)),Data!G52=0),"-",ABS(Data!G52)/Data!G21),"-")</f>
        <v>0.2494729444834856</v>
      </c>
      <c r="H78" s="83">
        <f>IFERROR(IF(OR(NOT(ISNUMBER(Data!H52)),NOT(ISNUMBER(Data!H21)),Data!H52=0),"-",ABS(Data!H52)/Data!H21),"-")</f>
        <v>0.21740448756822317</v>
      </c>
      <c r="I78" s="83">
        <f>IFERROR(IF(OR(NOT(ISNUMBER(Data!I52)),NOT(ISNUMBER(Data!I21)),Data!I52=0),"-",ABS(Data!I52)/Data!I21),"-")</f>
        <v>0.21077654516640254</v>
      </c>
      <c r="J78" s="83">
        <f>IFERROR(IF(OR(NOT(ISNUMBER(Data!J52)),NOT(ISNUMBER(Data!J21)),Data!J52=0),"-",ABS(Data!J52)/Data!J21),"-")</f>
        <v>0.18590553169992421</v>
      </c>
      <c r="K78" s="83">
        <f>IFERROR(IF(OR(NOT(ISNUMBER(Data!K52)),NOT(ISNUMBER(Data!K21)),Data!K52=0),"-",ABS(Data!K52)/Data!K21),"-")</f>
        <v>0.18924360080529193</v>
      </c>
      <c r="L78" s="83">
        <f>IFERROR(IF(OR(NOT(ISNUMBER(Data!L52)),NOT(ISNUMBER(Data!L21)),Data!L52=0),"-",ABS(Data!L52)/Data!L21),"-")</f>
        <v>0.16359129716331589</v>
      </c>
      <c r="M78" s="261"/>
      <c r="N78" s="245"/>
      <c r="O78" s="245"/>
      <c r="P78" s="245"/>
      <c r="Q78" s="245"/>
      <c r="R78" s="245"/>
      <c r="S78" s="245"/>
      <c r="T78" s="245"/>
      <c r="U78" s="245"/>
      <c r="V78" s="258"/>
      <c r="W78" s="463"/>
      <c r="X78" s="463"/>
      <c r="Y78" s="463"/>
    </row>
    <row r="79" ht="15" customHeight="1" s="74">
      <c r="A79" s="17" t="inlineStr">
        <is>
          <t>Intangibles / Total Assets</t>
        </is>
      </c>
      <c r="B79" s="81">
        <f>IFERROR(Data!B43/Data!B39,"-")</f>
      </c>
      <c r="C79" s="81">
        <f>IFERROR(Data!C43/Data!C39,"-")</f>
        <v>0.413072380243007</v>
      </c>
      <c r="D79" s="81">
        <f>IFERROR(Data!D43/Data!D39,"-")</f>
        <v>0.34812779292256063</v>
      </c>
      <c r="E79" s="81">
        <f>IFERROR(Data!E43/Data!E39,"-")</f>
        <v>0.41809545498910106</v>
      </c>
      <c r="F79" s="81">
        <f>IFERROR(Data!F43/Data!F39,"-")</f>
        <v>0.45593730725973225</v>
      </c>
      <c r="G79" s="81">
        <f>IFERROR(Data!G43/Data!G39,"-")</f>
        <v>0.3969472556975008</v>
      </c>
      <c r="H79" s="81">
        <f>IFERROR(Data!H43/Data!H39,"-")</f>
        <v>0.5034923169028138</v>
      </c>
      <c r="I79" s="81">
        <f>IFERROR(Data!I43/Data!I39,"-")</f>
        <v>0.49133526894556345</v>
      </c>
      <c r="J79" s="81">
        <f>IFERROR(Data!J43/Data!J39,"-")</f>
        <v>0.48706209991685284</v>
      </c>
      <c r="K79" s="81">
        <f>IFERROR(Data!K43/Data!K39,"-")</f>
        <v>0.49824148919633143</v>
      </c>
      <c r="L79" s="81">
        <f>IFERROR(Data!L43/Data!L39,"-")</f>
        <v>0.5159253817728507</v>
      </c>
      <c r="M79" s="261"/>
      <c r="N79" s="249"/>
      <c r="O79" s="249"/>
      <c r="P79" s="249"/>
      <c r="Q79" s="249"/>
      <c r="R79" s="249"/>
      <c r="S79" s="249"/>
      <c r="T79" s="249"/>
      <c r="U79" s="249"/>
      <c r="V79" s="256"/>
      <c r="W79" s="463"/>
      <c r="X79" s="463"/>
      <c r="Y79" s="463"/>
    </row>
    <row r="80" ht="15" customHeight="1" s="74">
      <c r="A80" s="15" t="inlineStr">
        <is>
          <t>Net Debt / EBITDA</t>
        </is>
      </c>
      <c r="B80" s="83">
        <f>IFERROR(IF(OR(NOT(ISNUMBER(Data!B36)),NOT(ISNUMBER(Data!B20))),"-",Data!B36/Data!B20),"-")</f>
      </c>
      <c r="C80" s="83">
        <f>IFERROR(IF(OR(NOT(ISNUMBER(Data!C36)),NOT(ISNUMBER(Data!C20))),"-",Data!C36/Data!C20),"-")</f>
        <v>0.576967089894368</v>
      </c>
      <c r="D80" s="83">
        <f>IFERROR(IF(OR(NOT(ISNUMBER(Data!D36)),NOT(ISNUMBER(Data!D20))),"-",Data!D36/Data!D20),"-")</f>
        <v>-0.8336834053712785</v>
      </c>
      <c r="E80" s="83">
        <f>IFERROR(IF(OR(NOT(ISNUMBER(Data!E36)),NOT(ISNUMBER(Data!E20))),"-",Data!E36/Data!E20),"-")</f>
        <v>-0.7788911155644622</v>
      </c>
      <c r="F80" s="83">
        <f>IFERROR(IF(OR(NOT(ISNUMBER(Data!F36)),NOT(ISNUMBER(Data!F20))),"-",Data!F36/Data!F20),"-")</f>
        <v>-2.166940789473684</v>
      </c>
      <c r="G80" s="83">
        <f>IFERROR(IF(OR(NOT(ISNUMBER(Data!G36)),NOT(ISNUMBER(Data!G20))),"-",Data!G36/Data!G20),"-")</f>
        <v>-2.813995758860951</v>
      </c>
      <c r="H80" s="83">
        <f>IFERROR(IF(OR(NOT(ISNUMBER(Data!H36)),NOT(ISNUMBER(Data!H20))),"-",Data!H36/Data!H20),"-")</f>
        <v>0.015340613624544981</v>
      </c>
      <c r="I80" s="83">
        <f>IFERROR(IF(OR(NOT(ISNUMBER(Data!I36)),NOT(ISNUMBER(Data!I20))),"-",Data!I36/Data!I20),"-")</f>
        <v>-0.3959717607973422</v>
      </c>
      <c r="J80" s="83">
        <f>IFERROR(IF(OR(NOT(ISNUMBER(Data!J36)),NOT(ISNUMBER(Data!J20))),"-",Data!J36/Data!J20),"-")</f>
        <v>-0.5315496098104794</v>
      </c>
      <c r="K80" s="83">
        <f>IFERROR(IF(OR(NOT(ISNUMBER(Data!K36)),NOT(ISNUMBER(Data!K20))),"-",Data!K36/Data!K20),"-")</f>
        <v>-0.5241527803782063</v>
      </c>
      <c r="L80" s="83">
        <f>IFERROR(IF(OR(NOT(ISNUMBER(Data!L36)),NOT(ISNUMBER(Data!L20))),"-",Data!L36/Data!L20),"-")</f>
        <v>0.4074569469988296</v>
      </c>
      <c r="M80" s="261"/>
      <c r="N80" s="245"/>
      <c r="O80" s="245"/>
      <c r="P80" s="245"/>
      <c r="Q80" s="245">
        <f>IFERROR(IF(OR(NOT(ISNUMBER(Data!Q36)),NOT(ISNUMBER(Data!N20)),NOT(ISNUMBER(Data!O20)),NOT(ISNUMBER(Data!P20)),NOT(ISNUMBER(Data!Q20))),"-",Data!Q36/(Data!N20+Data!O20+Data!P20+Data!Q20)),"-")</f>
        <v>-0.5241527803782063</v>
      </c>
      <c r="R80" s="245">
        <f>IFERROR(IF(OR(NOT(ISNUMBER(Data!R36)),NOT(ISNUMBER(Data!O20)),NOT(ISNUMBER(Data!P20)),NOT(ISNUMBER(Data!Q20)),NOT(ISNUMBER(Data!R20))),"-",Data!R36/(Data!O20+Data!P20+Data!Q20+Data!R20)),"-")</f>
        <v>-0.8248000735361706</v>
      </c>
      <c r="S80" s="245">
        <f>IFERROR(IF(OR(NOT(ISNUMBER(Data!S36)),NOT(ISNUMBER(Data!P20)),NOT(ISNUMBER(Data!Q20)),NOT(ISNUMBER(Data!R20)),NOT(ISNUMBER(Data!S20))),"-",Data!S36/(Data!P20+Data!Q20+Data!R20+Data!S20)),"-")</f>
        <v>-0.6117481037219968</v>
      </c>
      <c r="T80" s="245">
        <f>IFERROR(IF(OR(NOT(ISNUMBER(Data!T36)),NOT(ISNUMBER(Data!Q20)),NOT(ISNUMBER(Data!R20)),NOT(ISNUMBER(Data!S20)),NOT(ISNUMBER(Data!T20))),"-",Data!T36/(Data!Q20+Data!R20+Data!S20+Data!T20)),"-")</f>
        <v>-0.24721508140531276</v>
      </c>
      <c r="U80" s="245">
        <f>IFERROR(IF(OR(NOT(ISNUMBER(Data!U36)),NOT(ISNUMBER(Data!R20)),NOT(ISNUMBER(Data!S20)),NOT(ISNUMBER(Data!T20)),NOT(ISNUMBER(Data!U20))),"-",Data!U36/(Data!R20+Data!S20+Data!T20+Data!U20)),"-")</f>
        <v>0.4074569469988296</v>
      </c>
      <c r="V80" s="258">
        <f>IFERROR(IF(OR(NOT(ISNUMBER(Data!V36)),NOT(ISNUMBER(Data!S20)),NOT(ISNUMBER(Data!T20)),NOT(ISNUMBER(Data!U20)),NOT(ISNUMBER(Data!V20))),"-",Data!V36/(Data!S20+Data!T20+Data!U20+Data!V20)),"-")</f>
        <v>2.193860420497242</v>
      </c>
      <c r="W80" s="463">
        <f>IFERROR(IF(OR(NOT(ISNUMBER(Data!W36)),NOT(ISNUMBER(Data!T20)),NOT(ISNUMBER(Data!U20)),NOT(ISNUMBER(Data!V20)),NOT(ISNUMBER(Data!W20))),"-",Data!W36/(Data!T20+Data!U20+Data!V20+Data!W20)),"-")</f>
      </c>
      <c r="X80" s="463">
        <f>IFERROR(IF(OR(NOT(ISNUMBER(Data!X36)),NOT(ISNUMBER(Data!U20)),NOT(ISNUMBER(Data!V20)),NOT(ISNUMBER(Data!W20)),NOT(ISNUMBER(Data!X20))),"-",Data!X36/(Data!U20+Data!V20+Data!W20+Data!X20)),"-")</f>
      </c>
      <c r="Y80" s="463">
        <f>IFERROR(IF(OR(NOT(ISNUMBER(Data!Y36)),NOT(ISNUMBER(Data!V20)),NOT(ISNUMBER(Data!W20)),NOT(ISNUMBER(Data!X20)),NOT(ISNUMBER(Data!Y20))),"-",Data!Y36/(Data!V20+Data!W20+Data!X20+Data!Y20)),"-")</f>
      </c>
    </row>
    <row r="81" ht="15" customHeight="1" s="74">
      <c r="A81" s="17" t="inlineStr">
        <is>
          <t>Effective Tax Rate</t>
        </is>
      </c>
      <c r="B81" s="81">
        <f>IFERROR(IF(OR(NOT(ISNUMBER(Data!B25)),NOT(ISNUMBER(Data!B24))),"-",Data!B25/Data!B24),"-")</f>
        <v>1.7378148384386813</v>
      </c>
      <c r="C81" s="81">
        <f>IFERROR(IF(OR(NOT(ISNUMBER(Data!C25)),NOT(ISNUMBER(Data!C24))),"-",Data!C25/Data!C24),"-")</f>
        <v>-6.076862467005476</v>
      </c>
      <c r="D81" s="81">
        <f>IFERROR(IF(OR(NOT(ISNUMBER(Data!D25)),NOT(ISNUMBER(Data!D24))),"-",Data!D25/Data!D24),"-")</f>
        <v>0.36925802046430617</v>
      </c>
      <c r="E81" s="81">
        <f>IFERROR(IF(OR(NOT(ISNUMBER(Data!E25)),NOT(ISNUMBER(Data!E24))),"-",Data!E25/Data!E24),"-")</f>
        <v>-0.12919633774160733</v>
      </c>
      <c r="F81" s="81">
        <f>IFERROR(IF(OR(NOT(ISNUMBER(Data!F25)),NOT(ISNUMBER(Data!F24))),"-",Data!F25/Data!F24),"-")</f>
        <v>0.8215297450424929</v>
      </c>
      <c r="G81" s="81">
        <f>IFERROR(IF(OR(NOT(ISNUMBER(Data!G25)),NOT(ISNUMBER(Data!G24))),"-",Data!G25/Data!G24),"-")</f>
        <v>-0.5900039047247169</v>
      </c>
      <c r="H81" s="81">
        <f>IFERROR(IF(OR(NOT(ISNUMBER(Data!H25)),NOT(ISNUMBER(Data!H24))),"-",Data!H25/Data!H24),"-")</f>
        <v>0.057441253263707574</v>
      </c>
      <c r="I81" s="81">
        <f>IFERROR(IF(OR(NOT(ISNUMBER(Data!I25)),NOT(ISNUMBER(Data!I24))),"-",Data!I25/Data!I24),"-")</f>
        <v>0.6848484848484848</v>
      </c>
      <c r="J81" s="81">
        <f>IFERROR(IF(OR(NOT(ISNUMBER(Data!J25)),NOT(ISNUMBER(Data!J24))),"-",Data!J25/Data!J24),"-")</f>
        <v>0.16444444444444445</v>
      </c>
      <c r="K81" s="81">
        <f>IFERROR(IF(OR(NOT(ISNUMBER(Data!K25)),NOT(ISNUMBER(Data!K24))),"-",Data!K25/Data!K24),"-")</f>
        <v>0.16684592632428072</v>
      </c>
      <c r="L81" s="81">
        <f>IFERROR(IF(OR(NOT(ISNUMBER(Data!L25)),NOT(ISNUMBER(Data!L24))),"-",Data!L25/Data!L24),"-")</f>
        <v>0.21670168067226891</v>
      </c>
      <c r="M81" s="261"/>
      <c r="N81" s="249"/>
      <c r="O81" s="249"/>
      <c r="P81" s="249"/>
      <c r="Q81" s="249">
        <f>IFERROR(IF(OR(NOT(ISNUMBER(Data!N25)),NOT(ISNUMBER(Data!O25)),NOT(ISNUMBER(Data!P25)),NOT(ISNUMBER(Data!Q25)),NOT(ISNUMBER(Data!N24)),NOT(ISNUMBER(Data!O24)),NOT(ISNUMBER(Data!P24)),NOT(ISNUMBER(Data!Q24))),"-",(Data!N25+Data!O25+Data!P25+Data!Q25)/(Data!N24+Data!O24+Data!P24+Data!Q24)),"-")</f>
        <v>0.16684592632428072</v>
      </c>
      <c r="R81" s="249">
        <f>IFERROR(IF(OR(NOT(ISNUMBER(Data!O25)),NOT(ISNUMBER(Data!P25)),NOT(ISNUMBER(Data!Q25)),NOT(ISNUMBER(Data!R25)),NOT(ISNUMBER(Data!O24)),NOT(ISNUMBER(Data!P24)),NOT(ISNUMBER(Data!Q24)),NOT(ISNUMBER(Data!R24))),"-",(Data!O25+Data!P25+Data!Q25+Data!R25)/(Data!O24+Data!P24+Data!Q24+Data!R24)),"-")</f>
        <v>0.17760106030483763</v>
      </c>
      <c r="S81" s="249">
        <f>IFERROR(IF(OR(NOT(ISNUMBER(Data!P25)),NOT(ISNUMBER(Data!Q25)),NOT(ISNUMBER(Data!R25)),NOT(ISNUMBER(Data!S25)),NOT(ISNUMBER(Data!P24)),NOT(ISNUMBER(Data!Q24)),NOT(ISNUMBER(Data!R24)),NOT(ISNUMBER(Data!S24))),"-",(Data!P25+Data!Q25+Data!R25+Data!S25)/(Data!P24+Data!Q24+Data!R24+Data!S24)),"-")</f>
        <v>0.17882671925067783</v>
      </c>
      <c r="T81" s="249">
        <f>IFERROR(IF(OR(NOT(ISNUMBER(Data!Q25)),NOT(ISNUMBER(Data!R25)),NOT(ISNUMBER(Data!S25)),NOT(ISNUMBER(Data!T25)),NOT(ISNUMBER(Data!Q24)),NOT(ISNUMBER(Data!R24)),NOT(ISNUMBER(Data!S24)),NOT(ISNUMBER(Data!T24))),"-",(Data!Q25+Data!R25+Data!S25+Data!T25)/(Data!Q24+Data!R24+Data!S24+Data!T24)),"-")</f>
        <v>0.18671171171171172</v>
      </c>
      <c r="U81" s="249">
        <f>IFERROR(IF(OR(NOT(ISNUMBER(Data!R25)),NOT(ISNUMBER(Data!S25)),NOT(ISNUMBER(Data!T25)),NOT(ISNUMBER(Data!U25)),NOT(ISNUMBER(Data!R24)),NOT(ISNUMBER(Data!S24)),NOT(ISNUMBER(Data!T24)),NOT(ISNUMBER(Data!U24))),"-",(Data!R25+Data!S25+Data!T25+Data!U25)/(Data!R24+Data!S24+Data!T24+Data!U24)),"-")</f>
        <v>0.21670168067226891</v>
      </c>
      <c r="V81" s="256">
        <f>IFERROR(IF(OR(NOT(ISNUMBER(Data!S25)),NOT(ISNUMBER(Data!T25)),NOT(ISNUMBER(Data!U25)),NOT(ISNUMBER(Data!V25)),NOT(ISNUMBER(Data!S24)),NOT(ISNUMBER(Data!T24)),NOT(ISNUMBER(Data!U24)),NOT(ISNUMBER(Data!V24))),"-",(Data!S25+Data!T25+Data!U25+Data!V25)/(Data!S24+Data!T24+Data!U24+Data!V24)),"-")</f>
        <v>0.2185643323268725</v>
      </c>
      <c r="W81" s="463">
        <f>IFERROR(IF(OR(NOT(ISNUMBER(Data!T25)),NOT(ISNUMBER(Data!U25)),NOT(ISNUMBER(Data!V25)),NOT(ISNUMBER(Data!W25)),NOT(ISNUMBER(Data!T24)),NOT(ISNUMBER(Data!U24)),NOT(ISNUMBER(Data!V24)),NOT(ISNUMBER(Data!W24))),"-",(Data!T25+Data!U25+Data!V25+Data!W25)/(Data!T24+Data!U24+Data!V24+Data!W24)),"-")</f>
      </c>
      <c r="X81" s="463">
        <f>IFERROR(IF(OR(NOT(ISNUMBER(Data!U25)),NOT(ISNUMBER(Data!V25)),NOT(ISNUMBER(Data!W25)),NOT(ISNUMBER(Data!X25)),NOT(ISNUMBER(Data!U24)),NOT(ISNUMBER(Data!V24)),NOT(ISNUMBER(Data!W24)),NOT(ISNUMBER(Data!X24))),"-",(Data!U25+Data!V25+Data!W25+Data!X25)/(Data!U24+Data!V24+Data!W24+Data!X24)),"-")</f>
      </c>
      <c r="Y81" s="463">
        <f>IFERROR(IF(OR(NOT(ISNUMBER(Data!V25)),NOT(ISNUMBER(Data!W25)),NOT(ISNUMBER(Data!X25)),NOT(ISNUMBER(Data!Y25)),NOT(ISNUMBER(Data!V24)),NOT(ISNUMBER(Data!W24)),NOT(ISNUMBER(Data!X24)),NOT(ISNUMBER(Data!Y24))),"-",(Data!V25+Data!W25+Data!X25+Data!Y25)/(Data!V24+Data!W24+Data!X24+Data!Y24)),"-")</f>
      </c>
    </row>
    <row r="82" ht="15" customHeight="1" s="74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N82" s="10"/>
      <c r="O82" s="10"/>
      <c r="P82" s="10"/>
      <c r="Q82" s="10"/>
      <c r="R82" s="10"/>
      <c r="S82" s="10"/>
      <c r="T82" s="10"/>
      <c r="U82" s="10"/>
    </row>
    <row r="83" ht="15" customHeight="1" s="74">
      <c r="A83" s="252"/>
    </row>
    <row r="84" ht="19" customHeight="1" s="74">
      <c r="A84" s="226" t="inlineStr">
        <is>
          <t>SHAREHOLDER METRICS</t>
        </is>
      </c>
      <c r="N84" s="2"/>
      <c r="O84" s="2"/>
      <c r="P84" s="2"/>
      <c r="Q84" s="2"/>
      <c r="R84" s="2"/>
      <c r="S84" s="2"/>
      <c r="T84" s="2"/>
      <c r="U84" s="2"/>
    </row>
    <row r="85" ht="15" customHeight="1" s="74">
      <c r="A85" s="14" t="inlineStr">
        <is>
          <t>Period</t>
        </is>
      </c>
      <c r="B85" s="14">
        <f>Data!B13</f>
        <v>2016.0</v>
      </c>
      <c r="C85" s="14">
        <f>Data!C13</f>
        <v>2017.0</v>
      </c>
      <c r="D85" s="14">
        <f>Data!D13</f>
        <v>2018.0</v>
      </c>
      <c r="E85" s="14">
        <f>Data!E13</f>
        <v>2019.0</v>
      </c>
      <c r="F85" s="14">
        <f>Data!F13</f>
        <v>2020.0</v>
      </c>
      <c r="G85" s="14">
        <f>Data!G13</f>
        <v>2021.0</v>
      </c>
      <c r="H85" s="14">
        <f>Data!H13</f>
        <v>2022.0</v>
      </c>
      <c r="I85" s="14">
        <f>Data!I13</f>
        <v>2023.0</v>
      </c>
      <c r="J85" s="14">
        <f>Data!J13</f>
        <v>2024.0</v>
      </c>
      <c r="K85" s="14">
        <f>Data!K13</f>
        <v>2025.0</v>
      </c>
      <c r="L85" s="14">
        <f>Data!L13</f>
        <v>2026.0</v>
      </c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</row>
    <row r="86" ht="15" customHeight="1" s="74">
      <c r="A86" s="17" t="inlineStr">
        <is>
          <t>Dividend Per Share</t>
        </is>
      </c>
      <c r="B86" s="22">
        <f>IFERROR(IF(OR(NOT(ISNUMBER(Data!B55)),NOT(ISNUMBER(Data!B28)),Data!B55=0),"-",ABS(Data!B55)/Data!B28),"-")</f>
      </c>
      <c r="C86" s="22">
        <f>IFERROR(IF(OR(NOT(ISNUMBER(Data!C55)),NOT(ISNUMBER(Data!C28)),Data!C55=0),"-",ABS(Data!C55)/Data!C28),"-")</f>
      </c>
      <c r="D86" s="22">
        <f>IFERROR(IF(OR(NOT(ISNUMBER(Data!D55)),NOT(ISNUMBER(Data!D28)),Data!D55=0),"-",ABS(Data!D55)/Data!D28),"-")</f>
      </c>
      <c r="E86" s="22">
        <f>IFERROR(IF(OR(NOT(ISNUMBER(Data!E55)),NOT(ISNUMBER(Data!E28)),Data!E55=0),"-",ABS(Data!E55)/Data!E28),"-")</f>
      </c>
      <c r="F86" s="22">
        <f>IFERROR(IF(OR(NOT(ISNUMBER(Data!F55)),NOT(ISNUMBER(Data!F28)),Data!F55=0),"-",ABS(Data!F55)/Data!F28),"-")</f>
      </c>
      <c r="G86" s="22">
        <f>IFERROR(IF(OR(NOT(ISNUMBER(Data!G55)),NOT(ISNUMBER(Data!G28)),Data!G55=0),"-",ABS(Data!G55)/Data!G28),"-")</f>
      </c>
      <c r="H86" s="22">
        <f>IFERROR(IF(OR(NOT(ISNUMBER(Data!H55)),NOT(ISNUMBER(Data!H28)),Data!H55=0),"-",ABS(Data!H55)/Data!H28),"-")</f>
      </c>
      <c r="I86" s="22">
        <f>IFERROR(IF(OR(NOT(ISNUMBER(Data!I55)),NOT(ISNUMBER(Data!I28)),Data!I55=0),"-",ABS(Data!I55)/Data!I28),"-")</f>
      </c>
      <c r="J86" s="22">
        <f>IFERROR(IF(OR(NOT(ISNUMBER(Data!J55)),NOT(ISNUMBER(Data!J28)),Data!J55=0),"-",ABS(Data!J55)/Data!J28),"-")</f>
      </c>
      <c r="K86" s="22">
        <f>IFERROR(IF(OR(NOT(ISNUMBER(Data!K55)),NOT(ISNUMBER(Data!K28)),Data!K55=0),"-",ABS(Data!K55)/Data!K28),"-")</f>
        <v>1.5780287474332648</v>
      </c>
      <c r="L86" s="22">
        <f>IFERROR(IF(OR(NOT(ISNUMBER(Data!L55)),NOT(ISNUMBER(Data!L28)),Data!L55=0),"-",ABS(Data!L55)/Data!L28),"-")</f>
        <v>1.6600418410041842</v>
      </c>
      <c r="M86" s="261"/>
      <c r="N86" s="271"/>
      <c r="O86" s="271"/>
      <c r="P86" s="271"/>
      <c r="Q86" s="271"/>
      <c r="R86" s="271"/>
      <c r="S86" s="271"/>
      <c r="T86" s="271"/>
      <c r="U86" s="271"/>
      <c r="V86" s="261"/>
      <c r="W86" s="469"/>
      <c r="X86" s="469"/>
      <c r="Y86" s="469"/>
    </row>
    <row r="87" ht="15" customHeight="1" s="74">
      <c r="A87" s="17" t="inlineStr">
        <is>
          <t>Dividend Yield (on current price)</t>
        </is>
      </c>
      <c r="B87" s="8">
        <f>IFERROR(IF(OR(NOT(ISNUMBER(Data!B55)),NOT(ISNUMBER(Data!B28)),NOT(ISNUMBER(Data!$B$8)),Data!B55=0),"-",ABS(Data!B55)/(Data!$B$8*Data!B28)),"-")</f>
      </c>
      <c r="C87" s="8">
        <f>IFERROR(IF(OR(NOT(ISNUMBER(Data!C55)),NOT(ISNUMBER(Data!C28)),NOT(ISNUMBER(Data!$B$8)),Data!C55=0),"-",ABS(Data!C55)/(Data!$B$8*Data!C28)),"-")</f>
      </c>
      <c r="D87" s="8">
        <f>IFERROR(IF(OR(NOT(ISNUMBER(Data!D55)),NOT(ISNUMBER(Data!D28)),NOT(ISNUMBER(Data!$B$8)),Data!D55=0),"-",ABS(Data!D55)/(Data!$B$8*Data!D28)),"-")</f>
      </c>
      <c r="E87" s="8">
        <f>IFERROR(IF(OR(NOT(ISNUMBER(Data!E55)),NOT(ISNUMBER(Data!E28)),NOT(ISNUMBER(Data!$B$8)),Data!E55=0),"-",ABS(Data!E55)/(Data!$B$8*Data!E28)),"-")</f>
      </c>
      <c r="F87" s="8">
        <f>IFERROR(IF(OR(NOT(ISNUMBER(Data!F55)),NOT(ISNUMBER(Data!F28)),NOT(ISNUMBER(Data!$B$8)),Data!F55=0),"-",ABS(Data!F55)/(Data!$B$8*Data!F28)),"-")</f>
      </c>
      <c r="G87" s="8">
        <f>IFERROR(IF(OR(NOT(ISNUMBER(Data!G55)),NOT(ISNUMBER(Data!G28)),NOT(ISNUMBER(Data!$B$8)),Data!G55=0),"-",ABS(Data!G55)/(Data!$B$8*Data!G28)),"-")</f>
      </c>
      <c r="H87" s="8">
        <f>IFERROR(IF(OR(NOT(ISNUMBER(Data!H55)),NOT(ISNUMBER(Data!H28)),NOT(ISNUMBER(Data!$B$8)),Data!H55=0),"-",ABS(Data!H55)/(Data!$B$8*Data!H28)),"-")</f>
      </c>
      <c r="I87" s="8">
        <f>IFERROR(IF(OR(NOT(ISNUMBER(Data!I55)),NOT(ISNUMBER(Data!I28)),NOT(ISNUMBER(Data!$B$8)),Data!I55=0),"-",ABS(Data!I55)/(Data!$B$8*Data!I28)),"-")</f>
      </c>
      <c r="J87" s="8">
        <f>IFERROR(IF(OR(NOT(ISNUMBER(Data!J55)),NOT(ISNUMBER(Data!J28)),NOT(ISNUMBER(Data!$B$8)),Data!J55=0),"-",ABS(Data!J55)/(Data!$B$8*Data!J28)),"-")</f>
      </c>
      <c r="K87" s="8">
        <f>IFERROR(IF(OR(NOT(ISNUMBER(Data!K55)),NOT(ISNUMBER(Data!K28)),NOT(ISNUMBER(Data!$B$8)),Data!K55=0),"-",ABS(Data!K55)/(Data!$B$8*Data!K28)),"-")</f>
        <v>0.010510381959726022</v>
      </c>
      <c r="L87" s="8">
        <f>IFERROR(IF(OR(NOT(ISNUMBER(Data!L55)),NOT(ISNUMBER(Data!L28)),NOT(ISNUMBER(Data!$B$8)),Data!L55=0),"-",ABS(Data!L55)/(Data!$B$8*Data!L28)),"-")</f>
        <v>0.011056626089011484</v>
      </c>
      <c r="M87" s="261"/>
      <c r="N87" s="272"/>
      <c r="O87" s="272"/>
      <c r="P87" s="272"/>
      <c r="Q87" s="272"/>
      <c r="R87" s="272"/>
      <c r="S87" s="272"/>
      <c r="T87" s="272"/>
      <c r="U87" s="272"/>
      <c r="V87" s="261"/>
      <c r="W87" s="469"/>
      <c r="X87" s="469"/>
      <c r="Y87" s="469"/>
    </row>
    <row r="88" ht="15" customHeight="1" s="74">
      <c r="A88" s="17" t="inlineStr">
        <is>
          <t>SBC / Net Income</t>
        </is>
      </c>
      <c r="B88" s="90">
        <f>IFERROR(IF(OR(NOT(ISNUMBER(Data!B54)),NOT(ISNUMBER(Data!B26))),"-",Data!B54/Data!B26),"-")</f>
        <v>-12.516931640872096</v>
      </c>
      <c r="C88" s="90">
        <f>IFERROR(IF(OR(NOT(ISNUMBER(Data!C54)),NOT(ISNUMBER(Data!C26))),"-",Data!C54/Data!C26),"-")</f>
        <v>4.56693128173154</v>
      </c>
      <c r="D88" s="90">
        <f>IFERROR(IF(OR(NOT(ISNUMBER(Data!D54)),NOT(ISNUMBER(Data!D26))),"-",Data!D54/Data!D26),"-")</f>
        <v>7.821059320039537</v>
      </c>
      <c r="E88" s="90">
        <f>IFERROR(IF(OR(NOT(ISNUMBER(Data!E54)),NOT(ISNUMBER(Data!E26))),"-",Data!E54/Data!E26),"-")</f>
        <v>1.1558558558558558</v>
      </c>
      <c r="F88" s="90">
        <f>IFERROR(IF(OR(NOT(ISNUMBER(Data!F54)),NOT(ISNUMBER(Data!F26))),"-",Data!F54/Data!F26),"-")</f>
        <v>14.166666666666666</v>
      </c>
      <c r="G88" s="90">
        <f>IFERROR(IF(OR(NOT(ISNUMBER(Data!G54)),NOT(ISNUMBER(Data!G26))),"-",Data!G54/Data!G26),"-")</f>
        <v>0.537819253438114</v>
      </c>
      <c r="H88" s="90">
        <f>IFERROR(IF(OR(NOT(ISNUMBER(Data!H54)),NOT(ISNUMBER(Data!H26))),"-",Data!H54/Data!H26),"-")</f>
        <v>1.9245152354570638</v>
      </c>
      <c r="I88" s="90">
        <f>IFERROR(IF(OR(NOT(ISNUMBER(Data!I54)),NOT(ISNUMBER(Data!I26))),"-",Data!I54/Data!I26),"-")</f>
        <v>15.764423076923077</v>
      </c>
      <c r="J88" s="90">
        <f>IFERROR(IF(OR(NOT(ISNUMBER(Data!J54)),NOT(ISNUMBER(Data!J26))),"-",Data!J54/Data!J26),"-")</f>
        <v>0.6738394584139265</v>
      </c>
      <c r="K88" s="90">
        <f>IFERROR(IF(OR(NOT(ISNUMBER(Data!K54)),NOT(ISNUMBER(Data!K26))),"-",Data!K54/Data!K26),"-")</f>
        <v>0.5136356301436179</v>
      </c>
      <c r="L88" s="90">
        <f>IFERROR(IF(OR(NOT(ISNUMBER(Data!L54)),NOT(ISNUMBER(Data!L26))),"-",Data!L54/Data!L26),"-")</f>
        <v>0.4705645702024943</v>
      </c>
      <c r="M88" s="261"/>
      <c r="N88" s="266"/>
      <c r="O88" s="266"/>
      <c r="P88" s="266"/>
      <c r="Q88" s="266"/>
      <c r="R88" s="266"/>
      <c r="S88" s="266"/>
      <c r="T88" s="266"/>
      <c r="U88" s="266"/>
      <c r="V88" s="261"/>
      <c r="W88" s="469"/>
      <c r="X88" s="469"/>
      <c r="Y88" s="469"/>
    </row>
    <row r="89" ht="15" customHeight="1" s="74">
      <c r="A89" s="15" t="inlineStr">
        <is>
          <t>Buyback Yield</t>
        </is>
      </c>
      <c r="B89" s="89">
        <f>IFERROR(IF(OR(NOT(ISNUMBER(Data!B56)),NOT(ISNUMBER(Data!B28)),NOT(ISNUMBER(Data!$B$8)),Data!B56=0),"-",ABS(Data!B56)/(Data!$B$8*Data!B28)),"-")</f>
      </c>
      <c r="C89" s="89">
        <f>IFERROR(IF(OR(NOT(ISNUMBER(Data!C56)),NOT(ISNUMBER(Data!C28)),NOT(ISNUMBER(Data!$B$8)),Data!C56=0),"-",ABS(Data!C56)/(Data!$B$8*Data!C28)),"-")</f>
      </c>
      <c r="D89" s="89">
        <f>IFERROR(IF(OR(NOT(ISNUMBER(Data!D56)),NOT(ISNUMBER(Data!D28)),NOT(ISNUMBER(Data!$B$8)),Data!D56=0),"-",ABS(Data!D56)/(Data!$B$8*Data!D28)),"-")</f>
      </c>
      <c r="E89" s="89">
        <f>IFERROR(IF(OR(NOT(ISNUMBER(Data!E56)),NOT(ISNUMBER(Data!E28)),NOT(ISNUMBER(Data!$B$8)),Data!E56=0),"-",ABS(Data!E56)/(Data!$B$8*Data!E28)),"-")</f>
      </c>
      <c r="F89" s="89">
        <f>IFERROR(IF(OR(NOT(ISNUMBER(Data!F56)),NOT(ISNUMBER(Data!F28)),NOT(ISNUMBER(Data!$B$8)),Data!F56=0),"-",ABS(Data!F56)/(Data!$B$8*Data!F28)),"-")</f>
      </c>
      <c r="G89" s="89">
        <f>IFERROR(IF(OR(NOT(ISNUMBER(Data!G56)),NOT(ISNUMBER(Data!G28)),NOT(ISNUMBER(Data!$B$8)),Data!G56=0),"-",ABS(Data!G56)/(Data!$B$8*Data!G28)),"-")</f>
      </c>
      <c r="H89" s="89">
        <f>IFERROR(IF(OR(NOT(ISNUMBER(Data!H56)),NOT(ISNUMBER(Data!H28)),NOT(ISNUMBER(Data!$B$8)),Data!H56=0),"-",ABS(Data!H56)/(Data!$B$8*Data!H28)),"-")</f>
      </c>
      <c r="I89" s="89">
        <f>IFERROR(IF(OR(NOT(ISNUMBER(Data!I56)),NOT(ISNUMBER(Data!I28)),NOT(ISNUMBER(Data!$B$8)),Data!I56=0),"-",ABS(Data!I56)/(Data!$B$8*Data!I28)),"-")</f>
        <v>0.026721966886405855</v>
      </c>
      <c r="J89" s="89">
        <f>IFERROR(IF(OR(NOT(ISNUMBER(Data!J56)),NOT(ISNUMBER(Data!J28)),NOT(ISNUMBER(Data!$B$8)),Data!J56=0),"-",ABS(Data!J56)/(Data!$B$8*Data!J28)),"-")</f>
        <v>0.051577876908381455</v>
      </c>
      <c r="K89" s="89">
        <f>IFERROR(IF(OR(NOT(ISNUMBER(Data!K56)),NOT(ISNUMBER(Data!K28)),NOT(ISNUMBER(Data!$B$8)),Data!K56=0),"-",ABS(Data!K56)/(Data!$B$8*Data!K28)),"-")</f>
        <v>0.0535366170219226</v>
      </c>
      <c r="L89" s="89">
        <f>IFERROR(IF(OR(NOT(ISNUMBER(Data!L56)),NOT(ISNUMBER(Data!L28)),NOT(ISNUMBER(Data!$B$8)),Data!L56=0),"-",ABS(Data!L56)/(Data!$B$8*Data!L28)),"-")</f>
        <v>0.087756308895519</v>
      </c>
      <c r="M89" s="261"/>
      <c r="N89" s="266"/>
      <c r="O89" s="266"/>
      <c r="P89" s="266"/>
      <c r="Q89" s="266"/>
      <c r="R89" s="266"/>
      <c r="S89" s="266"/>
      <c r="T89" s="266"/>
      <c r="U89" s="266"/>
      <c r="V89" s="261"/>
      <c r="W89" s="469"/>
      <c r="X89" s="469"/>
      <c r="Y89" s="469"/>
    </row>
    <row r="90" ht="15" customHeight="1" s="74">
      <c r="A90" s="17" t="inlineStr">
        <is>
          <t>Total Shareholder Return Yield</t>
        </is>
      </c>
      <c r="B90" s="90">
        <f>IFERROR(IF(OR(NOT(ISNUMBER(Data!B28)),NOT(ISNUMBER(Data!$B$8))),"-",(ABS(Data!B55)+ABS(Data!B56))/(Data!$B$8*Data!B28)),"-")</f>
        <v>0.0</v>
      </c>
      <c r="C90" s="90">
        <f>IFERROR(IF(OR(NOT(ISNUMBER(Data!C28)),NOT(ISNUMBER(Data!$B$8))),"-",(ABS(Data!C55)+ABS(Data!C56))/(Data!$B$8*Data!C28)),"-")</f>
        <v>0.0</v>
      </c>
      <c r="D90" s="90">
        <f>IFERROR(IF(OR(NOT(ISNUMBER(Data!D28)),NOT(ISNUMBER(Data!$B$8))),"-",(ABS(Data!D55)+ABS(Data!D56))/(Data!$B$8*Data!D28)),"-")</f>
        <v>0.0</v>
      </c>
      <c r="E90" s="90">
        <f>IFERROR(IF(OR(NOT(ISNUMBER(Data!E28)),NOT(ISNUMBER(Data!$B$8))),"-",(ABS(Data!E55)+ABS(Data!E56))/(Data!$B$8*Data!E28)),"-")</f>
        <v>0.0</v>
      </c>
      <c r="F90" s="90">
        <f>IFERROR(IF(OR(NOT(ISNUMBER(Data!F28)),NOT(ISNUMBER(Data!$B$8))),"-",(ABS(Data!F55)+ABS(Data!F56))/(Data!$B$8*Data!F28)),"-")</f>
        <v>0.0</v>
      </c>
      <c r="G90" s="90">
        <f>IFERROR(IF(OR(NOT(ISNUMBER(Data!G28)),NOT(ISNUMBER(Data!$B$8))),"-",(ABS(Data!G55)+ABS(Data!G56))/(Data!$B$8*Data!G28)),"-")</f>
        <v>0.0</v>
      </c>
      <c r="H90" s="90">
        <f>IFERROR(IF(OR(NOT(ISNUMBER(Data!H28)),NOT(ISNUMBER(Data!$B$8))),"-",(ABS(Data!H55)+ABS(Data!H56))/(Data!$B$8*Data!H28)),"-")</f>
        <v>0.0</v>
      </c>
      <c r="I90" s="90">
        <f>IFERROR(IF(OR(NOT(ISNUMBER(Data!I28)),NOT(ISNUMBER(Data!$B$8))),"-",(ABS(Data!I55)+ABS(Data!I56))/(Data!$B$8*Data!I28)),"-")</f>
        <v>0.026721966886405855</v>
      </c>
      <c r="J90" s="90">
        <f>IFERROR(IF(OR(NOT(ISNUMBER(Data!J28)),NOT(ISNUMBER(Data!$B$8))),"-",(ABS(Data!J55)+ABS(Data!J56))/(Data!$B$8*Data!J28)),"-")</f>
        <v>0.051577876908381455</v>
      </c>
      <c r="K90" s="90">
        <f>IFERROR(IF(OR(NOT(ISNUMBER(Data!K28)),NOT(ISNUMBER(Data!$B$8))),"-",(ABS(Data!K55)+ABS(Data!K56))/(Data!$B$8*Data!K28)),"-")</f>
        <v>0.06404699898164862</v>
      </c>
      <c r="L90" s="90">
        <f>IFERROR(IF(OR(NOT(ISNUMBER(Data!L28)),NOT(ISNUMBER(Data!$B$8))),"-",(ABS(Data!L55)+ABS(Data!L56))/(Data!$B$8*Data!L28)),"-")</f>
        <v>0.09881293498453048</v>
      </c>
      <c r="M90" s="261"/>
      <c r="N90" s="266"/>
      <c r="O90" s="266"/>
      <c r="P90" s="266"/>
      <c r="Q90" s="266"/>
      <c r="R90" s="266"/>
      <c r="S90" s="266"/>
      <c r="T90" s="266"/>
      <c r="U90" s="266"/>
      <c r="V90" s="261"/>
      <c r="W90" s="469"/>
      <c r="X90" s="469"/>
      <c r="Y90" s="469"/>
    </row>
    <row r="91" ht="15" customHeight="1" s="74">
      <c r="A91" s="17" t="inlineStr">
        <is>
          <t>Price / Tangible Book</t>
        </is>
      </c>
      <c r="B91" s="91">
        <f>IFERROR(Data!B8/((Data!B41-Data!B43)/Data!B28),"-")</f>
        <v>19.856542431952544</v>
      </c>
      <c r="C91" s="91">
        <f>IFERROR(Data!B8/((Data!C41-Data!C43)/Data!C28),"-")</f>
        <v>444.9387821280577</v>
      </c>
      <c r="D91" s="91">
        <f>IFERROR(Data!B8/((Data!D41-Data!D43)/Data!D28),"-")</f>
        <v>53.16840711531045</v>
      </c>
      <c r="E91" s="91">
        <f>IFERROR(Data!B8/((Data!E41-Data!E43)/Data!E28),"-")</f>
        <v>42.25072621641249</v>
      </c>
      <c r="F91" s="91">
        <f>IFERROR(Data!B8/((Data!F41-Data!F43)/Data!F28),"-")</f>
        <v>14.583361901496971</v>
      </c>
      <c r="G91" s="91">
        <f>IFERROR(Data!B8/((Data!G41-Data!G43)/Data!G28),"-")</f>
        <v>9.201331136738055</v>
      </c>
      <c r="H91" s="91">
        <f>IFERROR(Data!B8/((Data!H41-Data!H43)/Data!H28),"-")</f>
        <v>14.345336472434763</v>
      </c>
      <c r="I91" s="91">
        <f>IFERROR(Data!B8/((Data!I41-Data!I43)/Data!I28),"-")</f>
        <v>15.288487386375241</v>
      </c>
      <c r="J91" s="91">
        <f>IFERROR(Data!B8/((Data!J41-Data!J43)/Data!J28),"-")</f>
        <v>13.399035008162524</v>
      </c>
      <c r="K91" s="91">
        <f>IFERROR(Data!B8/((Data!K41-Data!K43)/Data!K28),"-")</f>
        <v>14.786285136501515</v>
      </c>
      <c r="L91" s="91">
        <f>IFERROR(Data!B8/((Data!L41-Data!L43)/Data!L28),"-")</f>
        <v>119.51194004995837</v>
      </c>
      <c r="M91" s="261"/>
      <c r="N91" s="273"/>
      <c r="O91" s="273"/>
      <c r="P91" s="273"/>
      <c r="Q91" s="273"/>
      <c r="R91" s="273"/>
      <c r="S91" s="273"/>
      <c r="T91" s="273"/>
      <c r="U91" s="273"/>
      <c r="V91" s="261"/>
      <c r="W91" s="469"/>
      <c r="X91" s="469"/>
      <c r="Y91" s="469"/>
    </row>
    <row r="92" ht="15" customHeight="1" s="74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N92" s="10"/>
      <c r="O92" s="10"/>
      <c r="P92" s="10"/>
      <c r="Q92" s="10"/>
      <c r="R92" s="10"/>
      <c r="S92" s="10"/>
      <c r="T92" s="10"/>
      <c r="U92" s="10"/>
    </row>
    <row r="93" ht="19" customHeight="1" s="74">
      <c r="A93" s="226" t="inlineStr">
        <is>
          <t>VALUATION MULTIPLES (at current price)</t>
        </is>
      </c>
      <c r="W93" s="464"/>
      <c r="X93" s="464"/>
      <c r="Y93" s="464"/>
    </row>
    <row r="94" ht="28" customHeight="1" s="74">
      <c r="A94" s="14" t="inlineStr">
        <is>
          <t>Period</t>
        </is>
      </c>
      <c r="B94" s="14">
        <f>Data!B13</f>
        <v>2016.0</v>
      </c>
      <c r="C94" s="14">
        <f>Data!C13</f>
        <v>2017.0</v>
      </c>
      <c r="D94" s="14">
        <f>Data!D13</f>
        <v>2018.0</v>
      </c>
      <c r="E94" s="14">
        <f>Data!E13</f>
        <v>2019.0</v>
      </c>
      <c r="F94" s="14">
        <f>Data!F13</f>
        <v>2020.0</v>
      </c>
      <c r="G94" s="14">
        <f>Data!G13</f>
        <v>2021.0</v>
      </c>
      <c r="H94" s="14">
        <f>Data!H13</f>
        <v>2022.0</v>
      </c>
      <c r="I94" s="14">
        <f>Data!I13</f>
        <v>2023.0</v>
      </c>
      <c r="J94" s="14">
        <f>Data!J13</f>
        <v>2024.0</v>
      </c>
      <c r="K94" s="14">
        <f>Data!K13</f>
        <v>2025.0</v>
      </c>
      <c r="L94" s="14">
        <f>Data!L13</f>
        <v>2026.0</v>
      </c>
      <c r="N94" s="267" t="inlineStr">
        <is>
          <t xml:space="preserve">Year -2
Q1</t>
        </is>
      </c>
      <c r="O94" s="267" t="inlineStr">
        <is>
          <t xml:space="preserve">Year -2
Q2</t>
        </is>
      </c>
      <c r="P94" s="267" t="inlineStr">
        <is>
          <t xml:space="preserve">Year -2
Q3</t>
        </is>
      </c>
      <c r="Q94" s="267" t="inlineStr">
        <is>
          <t xml:space="preserve">Year -2
Q4</t>
        </is>
      </c>
      <c r="R94" s="267" t="inlineStr">
        <is>
          <t xml:space="preserve">Year -1
Q1</t>
        </is>
      </c>
      <c r="S94" s="267" t="inlineStr">
        <is>
          <t xml:space="preserve">Year -1
Q2</t>
        </is>
      </c>
      <c r="T94" s="267" t="inlineStr">
        <is>
          <t xml:space="preserve">Year -1
Q3</t>
        </is>
      </c>
      <c r="U94" s="267" t="inlineStr">
        <is>
          <t xml:space="preserve">Year -1
Q4</t>
        </is>
      </c>
      <c r="V94" s="267" t="inlineStr">
        <is>
          <t xml:space="preserve">Current Year
Q1</t>
        </is>
      </c>
      <c r="W94" s="267" t="inlineStr">
        <is>
          <t xml:space="preserve">Current Year
Q2</t>
        </is>
      </c>
      <c r="X94" s="267" t="inlineStr">
        <is>
          <t xml:space="preserve">Current Year
Q3</t>
        </is>
      </c>
      <c r="Y94" s="267" t="inlineStr">
        <is>
          <t xml:space="preserve">Current Year
Q4</t>
        </is>
      </c>
    </row>
    <row r="95" ht="15" customHeight="1" s="74">
      <c r="A95" s="17" t="inlineStr">
        <is>
          <t>P/E</t>
        </is>
      </c>
      <c r="B95" s="91">
        <f>IFERROR(IF(OR(NOT(ISNUMBER(Data!$B$8)),NOT(ISNUMBER(Data!B27))),"-",Data!$B$8/Data!B27),"-")</f>
        <v>-2144.8571428571427</v>
      </c>
      <c r="C95" s="91">
        <f>IFERROR(IF(OR(NOT(ISNUMBER(Data!$B$8)),NOT(ISNUMBER(Data!C27))),"-",Data!$B$8/Data!C27),"-")</f>
        <v>577.4615384615383</v>
      </c>
      <c r="D95" s="91">
        <f>IFERROR(IF(OR(NOT(ISNUMBER(Data!$B$8)),NOT(ISNUMBER(Data!D27))),"-",Data!$B$8/Data!D27),"-")</f>
        <v>883.1764705882351</v>
      </c>
      <c r="E95" s="91">
        <f>IFERROR(IF(OR(NOT(ISNUMBER(Data!$B$8)),NOT(ISNUMBER(Data!E27))),"-",Data!$B$8/Data!E27),"-")</f>
        <v>104.99300699300699</v>
      </c>
      <c r="F95" s="91">
        <f>IFERROR(IF(OR(NOT(ISNUMBER(Data!$B$8)),NOT(ISNUMBER(Data!F27))),"-",Data!$B$8/Data!F27),"-")</f>
        <v>1000.9333333333333</v>
      </c>
      <c r="G95" s="91">
        <f>IFERROR(IF(OR(NOT(ISNUMBER(Data!$B$8)),NOT(ISNUMBER(Data!G27))),"-",Data!$B$8/Data!G27),"-")</f>
        <v>34.278538812785385</v>
      </c>
      <c r="H95" s="91">
        <f>IFERROR(IF(OR(NOT(ISNUMBER(Data!$B$8)),NOT(ISNUMBER(Data!H27))),"-",Data!$B$8/Data!H27),"-")</f>
        <v>101.44594594594594</v>
      </c>
      <c r="I95" s="91">
        <f>IFERROR(IF(OR(NOT(ISNUMBER(Data!$B$8)),NOT(ISNUMBER(Data!I27))),"-",Data!$B$8/Data!I27),"-")</f>
        <v>714.952380952381</v>
      </c>
      <c r="J95" s="91">
        <f>IFERROR(IF(OR(NOT(ISNUMBER(Data!$B$8)),NOT(ISNUMBER(Data!J27))),"-",Data!$B$8/Data!J27),"-")</f>
        <v>35.74761904761904</v>
      </c>
      <c r="K95" s="91">
        <f>IFERROR(IF(OR(NOT(ISNUMBER(Data!$B$8)),NOT(ISNUMBER(Data!K27))),"-",Data!$B$8/Data!K27),"-")</f>
        <v>23.606918238993707</v>
      </c>
      <c r="L95" s="91">
        <f>IFERROR(IF(OR(NOT(ISNUMBER(Data!$B$8)),NOT(ISNUMBER(Data!L27))),"-",Data!$B$8/Data!L27),"-")</f>
        <v>19.248717948717946</v>
      </c>
      <c r="M95" s="261"/>
      <c r="N95" s="244"/>
      <c r="O95" s="244"/>
      <c r="P95" s="244"/>
      <c r="Q95" s="244">
        <f>IFERROR(IF(OR(NOT(ISNUMBER(Data!$B$8)),NOT(ISNUMBER(Data!N27)),NOT(ISNUMBER(Data!O27)),NOT(ISNUMBER(Data!P27)),NOT(ISNUMBER(Data!Q27))),"-",Data!$B$8/(Data!N27+Data!O27+Data!P27+Data!Q27)),"-")</f>
      </c>
      <c r="R95" s="244">
        <f>IFERROR(IF(OR(NOT(ISNUMBER(Data!$B$8)),NOT(ISNUMBER(Data!O27)),NOT(ISNUMBER(Data!P27)),NOT(ISNUMBER(Data!Q27)),NOT(ISNUMBER(Data!R27))),"-",Data!$B$8/(Data!O27+Data!P27+Data!Q27+Data!R27)),"-")</f>
      </c>
      <c r="S95" s="244">
        <f>IFERROR(IF(OR(NOT(ISNUMBER(Data!$B$8)),NOT(ISNUMBER(Data!P27)),NOT(ISNUMBER(Data!Q27)),NOT(ISNUMBER(Data!R27)),NOT(ISNUMBER(Data!S27))),"-",Data!$B$8/(Data!P27+Data!Q27+Data!R27+Data!S27)),"-")</f>
      </c>
      <c r="T95" s="244">
        <f>IFERROR(IF(OR(NOT(ISNUMBER(Data!$B$8)),NOT(ISNUMBER(Data!Q27)),NOT(ISNUMBER(Data!R27)),NOT(ISNUMBER(Data!S27)),NOT(ISNUMBER(Data!T27))),"-",Data!$B$8/(Data!Q27+Data!R27+Data!S27+Data!T27)),"-")</f>
      </c>
      <c r="U95" s="244">
        <f>IFERROR(IF(OR(NOT(ISNUMBER(Data!$B$8)),NOT(ISNUMBER(Data!R27)),NOT(ISNUMBER(Data!S27)),NOT(ISNUMBER(Data!T27)),NOT(ISNUMBER(Data!U27))),"-",Data!$B$8/(Data!R27+Data!S27+Data!T27+Data!U27)),"-")</f>
      </c>
      <c r="V95" s="256">
        <f>IFERROR(IF(OR(NOT(ISNUMBER(Data!$B$8)),NOT(ISNUMBER(Data!S27)),NOT(ISNUMBER(Data!T27)),NOT(ISNUMBER(Data!U27)),NOT(ISNUMBER(Data!V27))),"-",Data!$B$8/(Data!S27+Data!T27+Data!U27+Data!V27)),"-")</f>
      </c>
      <c r="W95" s="256">
        <f>IFERROR(IF(OR(NOT(ISNUMBER(Data!$B$8)),NOT(ISNUMBER(Data!T27)),NOT(ISNUMBER(Data!U27)),NOT(ISNUMBER(Data!V27)),NOT(ISNUMBER(Data!W27))),"-",Data!$B$8/(Data!T27+Data!U27+Data!V27+Data!W27)),"-")</f>
      </c>
      <c r="X95" s="256">
        <f>IFERROR(IF(OR(NOT(ISNUMBER(Data!$B$8)),NOT(ISNUMBER(Data!U27)),NOT(ISNUMBER(Data!V27)),NOT(ISNUMBER(Data!W27)),NOT(ISNUMBER(Data!X27))),"-",Data!$B$8/(Data!U27+Data!V27+Data!W27+Data!X27)),"-")</f>
      </c>
      <c r="Y95" s="256">
        <f>IFERROR(IF(OR(NOT(ISNUMBER(Data!$B$8)),NOT(ISNUMBER(Data!V27)),NOT(ISNUMBER(Data!W27)),NOT(ISNUMBER(Data!X27)),NOT(ISNUMBER(Data!Y27))),"-",Data!$B$8/(Data!V27+Data!W27+Data!X27+Data!Y27)),"-")</f>
      </c>
    </row>
    <row r="96" ht="15" customHeight="1" s="74">
      <c r="A96" s="15" t="inlineStr">
        <is>
          <t>P/S</t>
        </is>
      </c>
      <c r="B96" s="92">
        <f>IFERROR(IF(OR(NOT(ISNUMBER(Data!$B$8)),NOT(ISNUMBER(Data!B28)),NOT(ISNUMBER(Data!B14))),"-",(Data!$B$8*Data!B28)/Data!B14),"-")</f>
        <v>14.899724349713583</v>
      </c>
      <c r="C96" s="92">
        <f>IFERROR(IF(OR(NOT(ISNUMBER(Data!$B$8)),NOT(ISNUMBER(Data!C28)),NOT(ISNUMBER(Data!C14))),"-",(Data!$B$8*Data!C28)/Data!C14),"-")</f>
        <v>12.527500097712291</v>
      </c>
      <c r="D96" s="92">
        <f>IFERROR(IF(OR(NOT(ISNUMBER(Data!$B$8)),NOT(ISNUMBER(Data!D28)),NOT(ISNUMBER(Data!D14))),"-",(Data!$B$8*Data!D28)/Data!D14),"-")</f>
        <v>10.524085632726372</v>
      </c>
      <c r="E96" s="92">
        <f>IFERROR(IF(OR(NOT(ISNUMBER(Data!$B$8)),NOT(ISNUMBER(Data!E28)),NOT(ISNUMBER(Data!E14))),"-",(Data!$B$8*Data!E28)/Data!E14),"-")</f>
        <v>8.760615871103749</v>
      </c>
      <c r="F96" s="92">
        <f>IFERROR(IF(OR(NOT(ISNUMBER(Data!$B$8)),NOT(ISNUMBER(Data!F28)),NOT(ISNUMBER(Data!F14))),"-",(Data!$B$8*Data!F28)/Data!F14),"-")</f>
        <v>7.463972394432097</v>
      </c>
      <c r="G96" s="92">
        <f>IFERROR(IF(OR(NOT(ISNUMBER(Data!$B$8)),NOT(ISNUMBER(Data!G28)),NOT(ISNUMBER(Data!G14))),"-",(Data!$B$8*Data!G28)/Data!G14),"-")</f>
        <v>6.5702145680406545</v>
      </c>
      <c r="H96" s="92">
        <f>IFERROR(IF(OR(NOT(ISNUMBER(Data!$B$8)),NOT(ISNUMBER(Data!H28)),NOT(ISNUMBER(Data!H14))),"-",(Data!$B$8*Data!H28)/Data!H14),"-")</f>
        <v>5.520019628567114</v>
      </c>
      <c r="I96" s="92">
        <f>IFERROR(IF(OR(NOT(ISNUMBER(Data!$B$8)),NOT(ISNUMBER(Data!I28)),NOT(ISNUMBER(Data!I14))),"-",(Data!$B$8*Data!I28)/Data!I14),"-")</f>
        <v>4.774482648634855</v>
      </c>
      <c r="J96" s="92">
        <f>IFERROR(IF(OR(NOT(ISNUMBER(Data!$B$8)),NOT(ISNUMBER(Data!J28)),NOT(ISNUMBER(Data!J14))),"-",(Data!$B$8*Data!J28)/Data!J14),"-")</f>
        <v>4.238395731130045</v>
      </c>
      <c r="K96" s="92">
        <f>IFERROR(IF(OR(NOT(ISNUMBER(Data!$B$8)),NOT(ISNUMBER(Data!K28)),NOT(ISNUMBER(Data!K14))),"-",(Data!$B$8*Data!K28)/Data!K14),"-")</f>
        <v>3.8589882570259926</v>
      </c>
      <c r="L96" s="92">
        <f>IFERROR(IF(OR(NOT(ISNUMBER(Data!$B$8)),NOT(ISNUMBER(Data!L28)),NOT(ISNUMBER(Data!L14))),"-",(Data!$B$8*Data!L28)/Data!L14),"-")</f>
        <v>3.45656447922938</v>
      </c>
      <c r="M96" s="261"/>
      <c r="N96" s="245"/>
      <c r="O96" s="245"/>
      <c r="P96" s="245"/>
      <c r="Q96" s="245">
        <f>IFERROR(IF(OR(NOT(ISNUMBER(Data!$B$8)),NOT(ISNUMBER(Data!Q28)),NOT(ISNUMBER(Data!N14)),NOT(ISNUMBER(Data!O14)),NOT(ISNUMBER(Data!P14)),NOT(ISNUMBER(Data!Q14))),"-",(Data!$B$8*Data!Q28)/(Data!N14+Data!O14+Data!P14+Data!Q14)),"-")</f>
      </c>
      <c r="R96" s="245">
        <f>IFERROR(IF(OR(NOT(ISNUMBER(Data!$B$8)),NOT(ISNUMBER(Data!R28)),NOT(ISNUMBER(Data!O14)),NOT(ISNUMBER(Data!P14)),NOT(ISNUMBER(Data!Q14)),NOT(ISNUMBER(Data!R14))),"-",(Data!$B$8*Data!R28)/(Data!O14+Data!P14+Data!Q14+Data!R14)),"-")</f>
        <v>3.7738280946334632</v>
      </c>
      <c r="S96" s="245">
        <f>IFERROR(IF(OR(NOT(ISNUMBER(Data!$B$8)),NOT(ISNUMBER(Data!S28)),NOT(ISNUMBER(Data!P14)),NOT(ISNUMBER(Data!Q14)),NOT(ISNUMBER(Data!R14)),NOT(ISNUMBER(Data!S14))),"-",(Data!$B$8*Data!S28)/(Data!P14+Data!Q14+Data!R14+Data!S14)),"-")</f>
        <v>3.6563890435927293</v>
      </c>
      <c r="T96" s="245">
        <f>IFERROR(IF(OR(NOT(ISNUMBER(Data!$B$8)),NOT(ISNUMBER(Data!T28)),NOT(ISNUMBER(Data!Q14)),NOT(ISNUMBER(Data!R14)),NOT(ISNUMBER(Data!S14)),NOT(ISNUMBER(Data!T14))),"-",(Data!$B$8*Data!T28)/(Data!Q14+Data!R14+Data!S14+Data!T14)),"-")</f>
        <v>3.545236004663045</v>
      </c>
      <c r="U96" s="245">
        <f>IFERROR(IF(OR(NOT(ISNUMBER(Data!$B$8)),NOT(ISNUMBER(Data!U28)),NOT(ISNUMBER(Data!R14)),NOT(ISNUMBER(Data!S14)),NOT(ISNUMBER(Data!T14)),NOT(ISNUMBER(Data!U14))),"-",(Data!$B$8*Data!U28)/(Data!R14+Data!S14+Data!T14+Data!U14)),"-")</f>
      </c>
      <c r="V96" s="258">
        <f>IFERROR(IF(OR(NOT(ISNUMBER(Data!$B$8)),NOT(ISNUMBER(Data!V28)),NOT(ISNUMBER(Data!S14)),NOT(ISNUMBER(Data!T14)),NOT(ISNUMBER(Data!U14)),NOT(ISNUMBER(Data!V14))),"-",(Data!$B$8*Data!V28)/(Data!S14+Data!T14+Data!U14+Data!V14)),"-")</f>
        <v>3.053350300030353</v>
      </c>
      <c r="W96" s="258">
        <f>IFERROR(IF(OR(NOT(ISNUMBER(Data!$B$8)),NOT(ISNUMBER(Data!W28)),NOT(ISNUMBER(Data!T14)),NOT(ISNUMBER(Data!U14)),NOT(ISNUMBER(Data!V14)),NOT(ISNUMBER(Data!W14))),"-",(Data!$B$8*Data!W28)/(Data!T14+Data!U14+Data!V14+Data!W14)),"-")</f>
      </c>
      <c r="X96" s="258">
        <f>IFERROR(IF(OR(NOT(ISNUMBER(Data!$B$8)),NOT(ISNUMBER(Data!X28)),NOT(ISNUMBER(Data!U14)),NOT(ISNUMBER(Data!V14)),NOT(ISNUMBER(Data!W14)),NOT(ISNUMBER(Data!X14))),"-",(Data!$B$8*Data!X28)/(Data!U14+Data!V14+Data!W14+Data!X14)),"-")</f>
      </c>
      <c r="Y96" s="258">
        <f>IFERROR(IF(OR(NOT(ISNUMBER(Data!$B$8)),NOT(ISNUMBER(Data!Y28)),NOT(ISNUMBER(Data!V14)),NOT(ISNUMBER(Data!W14)),NOT(ISNUMBER(Data!X14)),NOT(ISNUMBER(Data!Y14))),"-",(Data!$B$8*Data!Y28)/(Data!V14+Data!W14+Data!X14+Data!Y14)),"-")</f>
      </c>
    </row>
    <row r="97" ht="15" customHeight="1" s="74">
      <c r="A97" s="17" t="inlineStr">
        <is>
          <t>P/B</t>
        </is>
      </c>
      <c r="B97" s="2">
        <f>IFERROR(IF(OR(NOT(ISNUMBER(Data!$B$8)),NOT(ISNUMBER(Metrics!B30))),"-",Data!$B$8/Metrics!B30),"-")</f>
        <v>19.856542431952544</v>
      </c>
      <c r="C97" s="2">
        <f>IFERROR(IF(OR(NOT(ISNUMBER(Data!$B$8)),NOT(ISNUMBER(Metrics!C30))),"-",Data!$B$8/Metrics!C30),"-")</f>
        <v>14.017173359864437</v>
      </c>
      <c r="D97" s="2">
        <f>IFERROR(IF(OR(NOT(ISNUMBER(Data!$B$8)),NOT(ISNUMBER(Metrics!D30))),"-",Data!$B$8/Metrics!D30),"-")</f>
        <v>11.747626427065633</v>
      </c>
      <c r="E97" s="2">
        <f>IFERROR(IF(OR(NOT(ISNUMBER(Data!$B$8)),NOT(ISNUMBER(Metrics!E30))),"-",Data!$B$8/Metrics!E30),"-")</f>
        <v>7.456488305030438</v>
      </c>
      <c r="F97" s="2">
        <f>IFERROR(IF(OR(NOT(ISNUMBER(Data!$B$8)),NOT(ISNUMBER(Metrics!F30))),"-",Data!$B$8/Metrics!F30),"-")</f>
        <v>3.7662387487088678</v>
      </c>
      <c r="G97" s="2">
        <f>IFERROR(IF(OR(NOT(ISNUMBER(Data!$B$8)),NOT(ISNUMBER(Metrics!G30))),"-",Data!$B$8/Metrics!G30),"-")</f>
        <v>3.3651507483189933</v>
      </c>
      <c r="H97" s="2">
        <f>IFERROR(IF(OR(NOT(ISNUMBER(Data!$B$8)),NOT(ISNUMBER(Metrics!H30))),"-",Data!$B$8/Metrics!H30),"-")</f>
        <v>2.5156346871720765</v>
      </c>
      <c r="I97" s="2">
        <f>IFERROR(IF(OR(NOT(ISNUMBER(Data!$B$8)),NOT(ISNUMBER(Metrics!I30))),"-",Data!$B$8/Metrics!I30),"-")</f>
        <v>2.564978495176408</v>
      </c>
      <c r="J97" s="2">
        <f>IFERROR(IF(OR(NOT(ISNUMBER(Data!$B$8)),NOT(ISNUMBER(Metrics!J30))),"-",Data!$B$8/Metrics!J30),"-")</f>
        <v>2.476909767629011</v>
      </c>
      <c r="K97" s="2">
        <f>IFERROR(IF(OR(NOT(ISNUMBER(Data!$B$8)),NOT(ISNUMBER(Metrics!K30))),"-",Data!$B$8/Metrics!K30),"-")</f>
        <v>2.39053765550161</v>
      </c>
      <c r="L97" s="2">
        <f>IFERROR(IF(OR(NOT(ISNUMBER(Data!$B$8)),NOT(ISNUMBER(Metrics!L30))),"-",Data!$B$8/Metrics!L30),"-")</f>
        <v>2.4269358493118256</v>
      </c>
      <c r="M97" s="261"/>
      <c r="N97" s="224"/>
      <c r="O97" s="224"/>
      <c r="P97" s="224"/>
      <c r="Q97" s="224">
        <f>IFERROR(IF(OR(NOT(ISNUMBER(Data!$B$8)),NOT(ISNUMBER(Data!Q41)),NOT(ISNUMBER(Data!Q28))),"-",Data!$B$8/(Data!Q41/Data!Q28)),"-")</f>
      </c>
      <c r="R97" s="224">
        <f>IFERROR(IF(OR(NOT(ISNUMBER(Data!$B$8)),NOT(ISNUMBER(Data!R41)),NOT(ISNUMBER(Data!R28))),"-",Data!$B$8/(Data!R41/Data!R28)),"-")</f>
        <v>2.400616490291102</v>
      </c>
      <c r="S97" s="224">
        <f>IFERROR(IF(OR(NOT(ISNUMBER(Data!$B$8)),NOT(ISNUMBER(Data!S41)),NOT(ISNUMBER(Data!S28))),"-",Data!$B$8/(Data!S41/Data!S28)),"-")</f>
        <v>2.3551180537438037</v>
      </c>
      <c r="T97" s="224">
        <f>IFERROR(IF(OR(NOT(ISNUMBER(Data!$B$8)),NOT(ISNUMBER(Data!T41)),NOT(ISNUMBER(Data!T28))),"-",Data!$B$8/(Data!T41/Data!T28)),"-")</f>
        <v>2.381387847586678</v>
      </c>
      <c r="U97" s="224">
        <f>IFERROR(IF(OR(NOT(ISNUMBER(Data!$B$8)),NOT(ISNUMBER(Data!U41)),NOT(ISNUMBER(Data!U28))),"-",Data!$B$8/(Data!U41/Data!U28)),"-")</f>
      </c>
      <c r="V97" s="224">
        <f>IFERROR(IF(OR(NOT(ISNUMBER(Data!$B$8)),NOT(ISNUMBER(Data!V41)),NOT(ISNUMBER(Data!V28))),"-",Data!$B$8/(Data!V41/Data!V28)),"-")</f>
        <v>3.8198317511318822</v>
      </c>
      <c r="W97" s="224">
        <f>IFERROR(IF(OR(NOT(ISNUMBER(Data!$B$8)),NOT(ISNUMBER(Data!W41)),NOT(ISNUMBER(Data!W28))),"-",Data!$B$8/(Data!W41/Data!W28)),"-")</f>
      </c>
      <c r="X97" s="224">
        <f>IFERROR(IF(OR(NOT(ISNUMBER(Data!$B$8)),NOT(ISNUMBER(Data!X41)),NOT(ISNUMBER(Data!X28))),"-",Data!$B$8/(Data!X41/Data!X28)),"-")</f>
      </c>
      <c r="Y97" s="224">
        <f>IFERROR(IF(OR(NOT(ISNUMBER(Data!$B$8)),NOT(ISNUMBER(Data!Y41)),NOT(ISNUMBER(Data!Y28))),"-",Data!$B$8/(Data!Y41/Data!Y28)),"-")</f>
      </c>
    </row>
    <row r="98" ht="15" customHeight="1" s="74">
      <c r="A98" s="15" t="inlineStr">
        <is>
          <t>P/FCF</t>
        </is>
      </c>
      <c r="B98" s="92">
        <f>IFERROR(IF(OR(NOT(ISNUMBER(Data!$B$8)),NOT(ISNUMBER(Metrics!B31))),"-",Data!$B$8/Metrics!B31),"-")</f>
        <v>71.5907485055185</v>
      </c>
      <c r="C98" s="92">
        <f>IFERROR(IF(OR(NOT(ISNUMBER(Data!$B$8)),NOT(ISNUMBER(Metrics!C31))),"-",Data!$B$8/Metrics!C31),"-")</f>
        <v>61.90560838279631</v>
      </c>
      <c r="D98" s="92">
        <f>IFERROR(IF(OR(NOT(ISNUMBER(Data!$B$8)),NOT(ISNUMBER(Metrics!D31))),"-",Data!$B$8/Metrics!D31),"-")</f>
        <v>50.04339673802075</v>
      </c>
      <c r="E98" s="92">
        <f>IFERROR(IF(OR(NOT(ISNUMBER(Data!$B$8)),NOT(ISNUMBER(Metrics!E31))),"-",Data!$B$8/Metrics!E31),"-")</f>
        <v>41.51212986086336</v>
      </c>
      <c r="F98" s="92">
        <f>IFERROR(IF(OR(NOT(ISNUMBER(Data!$B$8)),NOT(ISNUMBER(Metrics!F31))),"-",Data!$B$8/Metrics!F31),"-")</f>
        <v>34.603850325379604</v>
      </c>
      <c r="G98" s="92">
        <f>IFERROR(IF(OR(NOT(ISNUMBER(Data!$B$8)),NOT(ISNUMBER(Metrics!G31))),"-",Data!$B$8/Metrics!G31),"-")</f>
        <v>34.13106819848448</v>
      </c>
      <c r="H98" s="92">
        <f>IFERROR(IF(OR(NOT(ISNUMBER(Data!$B$8)),NOT(ISNUMBER(Metrics!H31))),"-",Data!$B$8/Metrics!H31),"-")</f>
        <v>27.6805527162597</v>
      </c>
      <c r="I98" s="92">
        <f>IFERROR(IF(OR(NOT(ISNUMBER(Data!$B$8)),NOT(ISNUMBER(Metrics!I31))),"-",Data!$B$8/Metrics!I31),"-")</f>
        <v>23.71132266751148</v>
      </c>
      <c r="J98" s="92">
        <f>IFERROR(IF(OR(NOT(ISNUMBER(Data!$B$8)),NOT(ISNUMBER(Metrics!J31))),"-",Data!$B$8/Metrics!J31),"-")</f>
        <v>15.554617814276689</v>
      </c>
      <c r="K98" s="92">
        <f>IFERROR(IF(OR(NOT(ISNUMBER(Data!$B$8)),NOT(ISNUMBER(Metrics!K31))),"-",Data!$B$8/Metrics!K31),"-")</f>
        <v>11.76100691651922</v>
      </c>
      <c r="L98" s="92">
        <f>IFERROR(IF(OR(NOT(ISNUMBER(Data!$B$8)),NOT(ISNUMBER(Metrics!L31))),"-",Data!$B$8/Metrics!L31),"-")</f>
        <v>9.966243577280933</v>
      </c>
      <c r="M98" s="261"/>
      <c r="N98" s="245"/>
      <c r="O98" s="245"/>
      <c r="P98" s="245"/>
      <c r="Q98" s="245">
        <f>IFERROR(IF(OR(NOT(ISNUMBER(Data!$B$8)),NOT(ISNUMBER(Data!Q28)),NOT(ISNUMBER(Data!N53)),NOT(ISNUMBER(Data!O53)),NOT(ISNUMBER(Data!P53)),NOT(ISNUMBER(Data!Q53))),"-",Data!$B$8/((Data!N53+Data!O53+Data!P53+Data!Q53)/Data!Q28)),"-")</f>
      </c>
      <c r="R98" s="245">
        <f>IFERROR(IF(OR(NOT(ISNUMBER(Data!$B$8)),NOT(ISNUMBER(Data!R28)),NOT(ISNUMBER(Data!O53)),NOT(ISNUMBER(Data!P53)),NOT(ISNUMBER(Data!Q53)),NOT(ISNUMBER(Data!R53))),"-",Data!$B$8/((Data!O53+Data!P53+Data!Q53+Data!R53)/Data!R28)),"-")</f>
        <v>11.515442397406499</v>
      </c>
      <c r="S98" s="245">
        <f>IFERROR(IF(OR(NOT(ISNUMBER(Data!$B$8)),NOT(ISNUMBER(Data!S28)),NOT(ISNUMBER(Data!P53)),NOT(ISNUMBER(Data!Q53)),NOT(ISNUMBER(Data!R53)),NOT(ISNUMBER(Data!S53))),"-",Data!$B$8/((Data!P53+Data!Q53+Data!R53+Data!S53)/Data!S28)),"-")</f>
        <v>11.557548211570776</v>
      </c>
      <c r="T98" s="245">
        <f>IFERROR(IF(OR(NOT(ISNUMBER(Data!$B$8)),NOT(ISNUMBER(Data!T28)),NOT(ISNUMBER(Data!Q53)),NOT(ISNUMBER(Data!R53)),NOT(ISNUMBER(Data!S53)),NOT(ISNUMBER(Data!T53))),"-",Data!$B$8/((Data!Q53+Data!R53+Data!S53+Data!T53)/Data!T28)),"-")</f>
        <v>11.084395502132608</v>
      </c>
      <c r="U98" s="245">
        <f>IFERROR(IF(OR(NOT(ISNUMBER(Data!$B$8)),NOT(ISNUMBER(Data!U28)),NOT(ISNUMBER(Data!R53)),NOT(ISNUMBER(Data!S53)),NOT(ISNUMBER(Data!T53)),NOT(ISNUMBER(Data!U53))),"-",Data!$B$8/((Data!R53+Data!S53+Data!T53+Data!U53)/Data!U28)),"-")</f>
      </c>
      <c r="V98" s="258">
        <f>IFERROR(IF(OR(NOT(ISNUMBER(Data!$B$8)),NOT(ISNUMBER(Data!V28)),NOT(ISNUMBER(Data!S53)),NOT(ISNUMBER(Data!T53)),NOT(ISNUMBER(Data!U53)),NOT(ISNUMBER(Data!V53))),"-",Data!$B$8/((Data!S53+Data!T53+Data!U53+Data!V53)/Data!V28)),"-")</f>
        <v>8.919714889843803</v>
      </c>
      <c r="W98" s="258">
        <f>IFERROR(IF(OR(NOT(ISNUMBER(Data!$B$8)),NOT(ISNUMBER(Data!W28)),NOT(ISNUMBER(Data!T53)),NOT(ISNUMBER(Data!U53)),NOT(ISNUMBER(Data!V53)),NOT(ISNUMBER(Data!W53))),"-",Data!$B$8/((Data!T53+Data!U53+Data!V53+Data!W53)/Data!W28)),"-")</f>
      </c>
      <c r="X98" s="258">
        <f>IFERROR(IF(OR(NOT(ISNUMBER(Data!$B$8)),NOT(ISNUMBER(Data!X28)),NOT(ISNUMBER(Data!U53)),NOT(ISNUMBER(Data!V53)),NOT(ISNUMBER(Data!W53)),NOT(ISNUMBER(Data!X53))),"-",Data!$B$8/((Data!U53+Data!V53+Data!W53+Data!X53)/Data!X28)),"-")</f>
      </c>
      <c r="Y98" s="258">
        <f>IFERROR(IF(OR(NOT(ISNUMBER(Data!$B$8)),NOT(ISNUMBER(Data!Y28)),NOT(ISNUMBER(Data!V53)),NOT(ISNUMBER(Data!W53)),NOT(ISNUMBER(Data!X53)),NOT(ISNUMBER(Data!Y53))),"-",Data!$B$8/((Data!V53+Data!W53+Data!X53+Data!Y53)/Data!Y28)),"-")</f>
      </c>
    </row>
    <row r="99" ht="15" customHeight="1" s="74">
      <c r="A99" s="17" t="inlineStr">
        <is>
          <t>EV/EBITDA</t>
        </is>
      </c>
      <c r="B99" s="91">
        <f>IFERROR(IF(OR(NOT(ISNUMBER(Data!$B$8)),NOT(ISNUMBER(Data!B28)),NOT(ISNUMBER(Data!B20))),"-",(Data!$B$8*Data!B28+Data!B36+Data!B42)/Data!B20),"-")</f>
        <v>155.05520067179356</v>
      </c>
      <c r="C99" s="91">
        <f>IFERROR(IF(OR(NOT(ISNUMBER(Data!$B$8)),NOT(ISNUMBER(Data!C28)),NOT(ISNUMBER(Data!C20))),"-",(Data!$B$8*Data!C28+Data!C36+Data!C42)/Data!C20),"-")</f>
        <v>151.52406824097991</v>
      </c>
      <c r="D99" s="91">
        <f>IFERROR(IF(OR(NOT(ISNUMBER(Data!$B$8)),NOT(ISNUMBER(Data!D28)),NOT(ISNUMBER(Data!D20))),"-",(Data!$B$8*Data!D28+Data!D36+Data!D42)/Data!D20),"-")</f>
        <v>110.75688176873389</v>
      </c>
      <c r="E99" s="91">
        <f>IFERROR(IF(OR(NOT(ISNUMBER(Data!$B$8)),NOT(ISNUMBER(Data!E28)),NOT(ISNUMBER(Data!E20))),"-",(Data!$B$8*Data!E28+Data!E36+Data!E42)/Data!E20),"-")</f>
        <v>76.94889779559118</v>
      </c>
      <c r="F99" s="91">
        <f>IFERROR(IF(OR(NOT(ISNUMBER(Data!$B$8)),NOT(ISNUMBER(Data!F28)),NOT(ISNUMBER(Data!F20))),"-",(Data!$B$8*Data!F28+Data!F36+Data!F42)/Data!F20),"-")</f>
        <v>50.307976973684205</v>
      </c>
      <c r="G99" s="91">
        <f>IFERROR(IF(OR(NOT(ISNUMBER(Data!$B$8)),NOT(ISNUMBER(Data!G28)),NOT(ISNUMBER(Data!G20))),"-",(Data!$B$8*Data!G28+Data!G36+Data!G42)/Data!G20),"-")</f>
        <v>39.48536807028173</v>
      </c>
      <c r="H99" s="91">
        <f>IFERROR(IF(OR(NOT(ISNUMBER(Data!$B$8)),NOT(ISNUMBER(Data!H28)),NOT(ISNUMBER(Data!H20))),"-",(Data!$B$8*Data!H28+Data!H36+Data!H42)/Data!H20),"-")</f>
        <v>38.0383151326053</v>
      </c>
      <c r="I99" s="91">
        <f>IFERROR(IF(OR(NOT(ISNUMBER(Data!$B$8)),NOT(ISNUMBER(Data!I28)),NOT(ISNUMBER(Data!I20))),"-",(Data!$B$8*Data!I28+Data!I36+Data!I42)/Data!I20),"-")</f>
        <v>30.685751661129565</v>
      </c>
      <c r="J99" s="91">
        <f>IFERROR(IF(OR(NOT(ISNUMBER(Data!$B$8)),NOT(ISNUMBER(Data!J28)),NOT(ISNUMBER(Data!J20))),"-",(Data!$B$8*Data!J28+Data!J36+Data!J42)/Data!J20),"-")</f>
        <v>15.93865774804905</v>
      </c>
      <c r="K99" s="91">
        <f>IFERROR(IF(OR(NOT(ISNUMBER(Data!$B$8)),NOT(ISNUMBER(Data!K28)),NOT(ISNUMBER(Data!K20))),"-",(Data!$B$8*Data!K28+Data!K36+Data!K42)/Data!K20),"-")</f>
        <v>13.165826624227671</v>
      </c>
      <c r="L99" s="91">
        <f>IFERROR(IF(OR(NOT(ISNUMBER(Data!$B$8)),NOT(ISNUMBER(Data!L28)),NOT(ISNUMBER(Data!L20))),"-",(Data!$B$8*Data!L28+Data!L36+Data!L42)/Data!L20),"-")</f>
        <v>12.406607590703896</v>
      </c>
      <c r="M99" s="261"/>
      <c r="N99" s="244"/>
      <c r="O99" s="244"/>
      <c r="P99" s="244"/>
      <c r="Q99" s="244">
        <f>IFERROR(IF(OR(NOT(ISNUMBER(Data!$B$8)),NOT(ISNUMBER(Data!Q28)),NOT(ISNUMBER(Data!N20)),NOT(ISNUMBER(Data!O20)),NOT(ISNUMBER(Data!P20)),NOT(ISNUMBER(Data!Q20))),"-",(Data!$B$8*Data!Q28+Data!Q36+Data!Q42)/(Data!N20+Data!O20+Data!P20+Data!Q20)),"-")</f>
      </c>
      <c r="R99" s="244">
        <f>IFERROR(IF(OR(NOT(ISNUMBER(Data!$B$8)),NOT(ISNUMBER(Data!R28)),NOT(ISNUMBER(Data!O20)),NOT(ISNUMBER(Data!P20)),NOT(ISNUMBER(Data!Q20)),NOT(ISNUMBER(Data!R20))),"-",(Data!$B$8*Data!R28+Data!R36+Data!R42)/(Data!O20+Data!P20+Data!Q20+Data!R20)),"-")</f>
        <v>12.56207372001103</v>
      </c>
      <c r="S99" s="244">
        <f>IFERROR(IF(OR(NOT(ISNUMBER(Data!$B$8)),NOT(ISNUMBER(Data!S28)),NOT(ISNUMBER(Data!P20)),NOT(ISNUMBER(Data!Q20)),NOT(ISNUMBER(Data!R20)),NOT(ISNUMBER(Data!S20))),"-",(Data!$B$8*Data!S28+Data!S36+Data!S42)/(Data!P20+Data!Q20+Data!R20+Data!S20)),"-")</f>
        <v>12.12724289998236</v>
      </c>
      <c r="T99" s="244">
        <f>IFERROR(IF(OR(NOT(ISNUMBER(Data!$B$8)),NOT(ISNUMBER(Data!T28)),NOT(ISNUMBER(Data!Q20)),NOT(ISNUMBER(Data!R20)),NOT(ISNUMBER(Data!S20)),NOT(ISNUMBER(Data!T20))),"-",(Data!$B$8*Data!T28+Data!T36+Data!T42)/(Data!Q20+Data!R20+Data!S20+Data!T20)),"-")</f>
        <v>12.000709511568123</v>
      </c>
      <c r="U99" s="244">
        <f>IFERROR(IF(OR(NOT(ISNUMBER(Data!$B$8)),NOT(ISNUMBER(Data!U28)),NOT(ISNUMBER(Data!R20)),NOT(ISNUMBER(Data!S20)),NOT(ISNUMBER(Data!T20)),NOT(ISNUMBER(Data!U20))),"-",(Data!$B$8*Data!U28+Data!U36+Data!U42)/(Data!R20+Data!S20+Data!T20+Data!U20)),"-")</f>
      </c>
      <c r="V99" s="256">
        <f>IFERROR(IF(OR(NOT(ISNUMBER(Data!$B$8)),NOT(ISNUMBER(Data!V28)),NOT(ISNUMBER(Data!S20)),NOT(ISNUMBER(Data!T20)),NOT(ISNUMBER(Data!U20)),NOT(ISNUMBER(Data!V20))),"-",(Data!$B$8*Data!V28+Data!V36+Data!V42)/(Data!S20+Data!T20+Data!U20+Data!V20)),"-")</f>
        <v>12.648088576225119</v>
      </c>
      <c r="W99" s="256">
        <f>IFERROR(IF(OR(NOT(ISNUMBER(Data!$B$8)),NOT(ISNUMBER(Data!W28)),NOT(ISNUMBER(Data!T20)),NOT(ISNUMBER(Data!U20)),NOT(ISNUMBER(Data!V20)),NOT(ISNUMBER(Data!W20))),"-",(Data!$B$8*Data!W28+Data!W36+Data!W42)/(Data!T20+Data!U20+Data!V20+Data!W20)),"-")</f>
      </c>
      <c r="X99" s="256">
        <f>IFERROR(IF(OR(NOT(ISNUMBER(Data!$B$8)),NOT(ISNUMBER(Data!X28)),NOT(ISNUMBER(Data!U20)),NOT(ISNUMBER(Data!V20)),NOT(ISNUMBER(Data!W20)),NOT(ISNUMBER(Data!X20))),"-",(Data!$B$8*Data!X28+Data!X36+Data!X42)/(Data!U20+Data!V20+Data!W20+Data!X20)),"-")</f>
      </c>
      <c r="Y99" s="256">
        <f>IFERROR(IF(OR(NOT(ISNUMBER(Data!$B$8)),NOT(ISNUMBER(Data!Y28)),NOT(ISNUMBER(Data!V20)),NOT(ISNUMBER(Data!W20)),NOT(ISNUMBER(Data!X20)),NOT(ISNUMBER(Data!Y20))),"-",(Data!$B$8*Data!Y28+Data!Y36+Data!Y42)/(Data!V20+Data!W20+Data!X20+Data!Y20)),"-")</f>
      </c>
    </row>
    <row r="100" ht="15" customHeight="1" s="74">
      <c r="A100" s="15" t="inlineStr">
        <is>
          <t>EV/EBIT</t>
        </is>
      </c>
      <c r="B100" s="92">
        <f>IFERROR(IF(OR(NOT(ISNUMBER(Data!$B$8)),NOT(ISNUMBER(Data!B28)),NOT(ISNUMBER(Data!B22))),"-",(Data!$B$8*Data!B28+Data!B36+Data!B42)/Data!B22),"-")</f>
        <v>864.4020829598949</v>
      </c>
      <c r="C100" s="92">
        <f>IFERROR(IF(OR(NOT(ISNUMBER(Data!$B$8)),NOT(ISNUMBER(Data!C28)),NOT(ISNUMBER(Data!C22))),"-",(Data!$B$8*Data!C28+Data!C36+Data!C42)/Data!C22),"-")</f>
        <v>1643.0905894625396</v>
      </c>
      <c r="D100" s="92">
        <f>IFERROR(IF(OR(NOT(ISNUMBER(Data!$B$8)),NOT(ISNUMBER(Data!D28)),NOT(ISNUMBER(Data!D22))),"-",(Data!$B$8*Data!D28+Data!D36+Data!D42)/Data!D22),"-")</f>
        <v>464.30625750738005</v>
      </c>
      <c r="E100" s="92">
        <f>IFERROR(IF(OR(NOT(ISNUMBER(Data!$B$8)),NOT(ISNUMBER(Data!E28)),NOT(ISNUMBER(Data!E22))),"-",(Data!$B$8*Data!E28+Data!E36+Data!E42)/Data!E22),"-")</f>
        <v>215.3130841121495</v>
      </c>
      <c r="F100" s="92">
        <f>IFERROR(IF(OR(NOT(ISNUMBER(Data!$B$8)),NOT(ISNUMBER(Data!F28)),NOT(ISNUMBER(Data!F22))),"-",(Data!$B$8*Data!F28+Data!F36+Data!F42)/Data!F22),"-")</f>
        <v>411.9494949494949</v>
      </c>
      <c r="G100" s="92">
        <f>IFERROR(IF(OR(NOT(ISNUMBER(Data!$B$8)),NOT(ISNUMBER(Data!G28)),NOT(ISNUMBER(Data!G22))),"-",(Data!$B$8*Data!G28+Data!G36+Data!G42)/Data!G22),"-")</f>
        <v>286.4641758241758</v>
      </c>
      <c r="H100" s="92">
        <f>IFERROR(IF(OR(NOT(ISNUMBER(Data!$B$8)),NOT(ISNUMBER(Data!H28)),NOT(ISNUMBER(Data!H22))),"-",(Data!$B$8*Data!H28+Data!H36+Data!H42)/Data!H22),"-")</f>
        <v>266.96233576642334</v>
      </c>
      <c r="I100" s="92">
        <f>IFERROR(IF(OR(NOT(ISNUMBER(Data!$B$8)),NOT(ISNUMBER(Data!I28)),NOT(ISNUMBER(Data!I22))),"-",(Data!$B$8*Data!I28+Data!I36+Data!I42)/Data!I22),"-")</f>
        <v>143.47823300970873</v>
      </c>
      <c r="J100" s="92">
        <f>IFERROR(IF(OR(NOT(ISNUMBER(Data!$B$8)),NOT(ISNUMBER(Data!J28)),NOT(ISNUMBER(Data!J22))),"-",(Data!$B$8*Data!J28+Data!J36+Data!J42)/Data!J22),"-")</f>
        <v>28.531183396527634</v>
      </c>
      <c r="K100" s="92">
        <f>IFERROR(IF(OR(NOT(ISNUMBER(Data!$B$8)),NOT(ISNUMBER(Data!K28)),NOT(ISNUMBER(Data!K22))),"-",(Data!$B$8*Data!K28+Data!K36+Data!K42)/Data!K22),"-")</f>
        <v>19.51941151977793</v>
      </c>
      <c r="L100" s="92">
        <f>IFERROR(IF(OR(NOT(ISNUMBER(Data!$B$8)),NOT(ISNUMBER(Data!L28)),NOT(ISNUMBER(Data!L22))),"-",(Data!$B$8*Data!L28+Data!L36+Data!L42)/Data!L22),"-")</f>
        <v>17.81392870003601</v>
      </c>
      <c r="M100" s="261"/>
      <c r="N100" s="245"/>
      <c r="O100" s="245"/>
      <c r="P100" s="245"/>
      <c r="Q100" s="245">
        <f>IFERROR(IF(OR(NOT(ISNUMBER(Data!$B$8)),NOT(ISNUMBER(Data!Q28)),NOT(ISNUMBER(Data!N22)),NOT(ISNUMBER(Data!O22)),NOT(ISNUMBER(Data!P22)),NOT(ISNUMBER(Data!Q22))),"-",(Data!$B$8*Data!Q28+Data!Q36+Data!Q42)/(Data!N22+Data!O22+Data!P22+Data!Q22)),"-")</f>
      </c>
      <c r="R100" s="245">
        <f>IFERROR(IF(OR(NOT(ISNUMBER(Data!$B$8)),NOT(ISNUMBER(Data!R28)),NOT(ISNUMBER(Data!O22)),NOT(ISNUMBER(Data!P22)),NOT(ISNUMBER(Data!Q22)),NOT(ISNUMBER(Data!R22))),"-",(Data!$B$8*Data!R28+Data!R36+Data!R42)/(Data!O22+Data!P22+Data!Q22+Data!R22)),"-")</f>
        <v>18.373595052433448</v>
      </c>
      <c r="S100" s="245">
        <f>IFERROR(IF(OR(NOT(ISNUMBER(Data!$B$8)),NOT(ISNUMBER(Data!S28)),NOT(ISNUMBER(Data!P22)),NOT(ISNUMBER(Data!Q22)),NOT(ISNUMBER(Data!R22)),NOT(ISNUMBER(Data!S22))),"-",(Data!$B$8*Data!S28+Data!S36+Data!S42)/(Data!P22+Data!Q22+Data!R22+Data!S22)),"-")</f>
        <v>17.21530987855265</v>
      </c>
      <c r="T100" s="245">
        <f>IFERROR(IF(OR(NOT(ISNUMBER(Data!$B$8)),NOT(ISNUMBER(Data!T28)),NOT(ISNUMBER(Data!Q22)),NOT(ISNUMBER(Data!R22)),NOT(ISNUMBER(Data!S22)),NOT(ISNUMBER(Data!T22))),"-",(Data!$B$8*Data!T28+Data!T36+Data!T42)/(Data!Q22+Data!R22+Data!S22+Data!T22)),"-")</f>
        <v>16.909958947114223</v>
      </c>
      <c r="U100" s="245">
        <f>IFERROR(IF(OR(NOT(ISNUMBER(Data!$B$8)),NOT(ISNUMBER(Data!U28)),NOT(ISNUMBER(Data!R22)),NOT(ISNUMBER(Data!S22)),NOT(ISNUMBER(Data!T22)),NOT(ISNUMBER(Data!U22))),"-",(Data!$B$8*Data!U28+Data!U36+Data!U42)/(Data!R22+Data!S22+Data!T22+Data!U22)),"-")</f>
      </c>
      <c r="V100" s="258">
        <f>IFERROR(IF(OR(NOT(ISNUMBER(Data!$B$8)),NOT(ISNUMBER(Data!V28)),NOT(ISNUMBER(Data!S22)),NOT(ISNUMBER(Data!T22)),NOT(ISNUMBER(Data!U22)),NOT(ISNUMBER(Data!V22))),"-",(Data!$B$8*Data!V28+Data!V36+Data!V42)/(Data!S22+Data!T22+Data!U22+Data!V22)),"-")</f>
        <v>18.110684523809525</v>
      </c>
      <c r="W100" s="258">
        <f>IFERROR(IF(OR(NOT(ISNUMBER(Data!$B$8)),NOT(ISNUMBER(Data!W28)),NOT(ISNUMBER(Data!T22)),NOT(ISNUMBER(Data!U22)),NOT(ISNUMBER(Data!V22)),NOT(ISNUMBER(Data!W22))),"-",(Data!$B$8*Data!W28+Data!W36+Data!W42)/(Data!T22+Data!U22+Data!V22+Data!W22)),"-")</f>
      </c>
      <c r="X100" s="258">
        <f>IFERROR(IF(OR(NOT(ISNUMBER(Data!$B$8)),NOT(ISNUMBER(Data!X28)),NOT(ISNUMBER(Data!U22)),NOT(ISNUMBER(Data!V22)),NOT(ISNUMBER(Data!W22)),NOT(ISNUMBER(Data!X22))),"-",(Data!$B$8*Data!X28+Data!X36+Data!X42)/(Data!U22+Data!V22+Data!W22+Data!X22)),"-")</f>
      </c>
      <c r="Y100" s="258">
        <f>IFERROR(IF(OR(NOT(ISNUMBER(Data!$B$8)),NOT(ISNUMBER(Data!Y28)),NOT(ISNUMBER(Data!V22)),NOT(ISNUMBER(Data!W22)),NOT(ISNUMBER(Data!X22)),NOT(ISNUMBER(Data!Y22))),"-",(Data!$B$8*Data!Y28+Data!Y36+Data!Y42)/(Data!V22+Data!W22+Data!X22+Data!Y22)),"-")</f>
      </c>
    </row>
    <row r="101" ht="15" customHeight="1" s="74">
      <c r="A101" s="17" t="inlineStr">
        <is>
          <t>FCF Yield</t>
        </is>
      </c>
      <c r="B101" s="90">
        <f>IFERROR(IF(OR(NOT(ISNUMBER(Metrics!B31)),NOT(ISNUMBER(Data!$B$8))),"-",Metrics!B31/Data!$B$8),"-")</f>
        <v>0.013968285300480075</v>
      </c>
      <c r="C101" s="90">
        <f>IFERROR(IF(OR(NOT(ISNUMBER(Metrics!C31)),NOT(ISNUMBER(Data!$B$8))),"-",Metrics!C31/Data!$B$8),"-")</f>
        <v>0.016153625271178206</v>
      </c>
      <c r="D101" s="90">
        <f>IFERROR(IF(OR(NOT(ISNUMBER(Metrics!D31)),NOT(ISNUMBER(Data!$B$8))),"-",Metrics!D31/Data!$B$8),"-")</f>
        <v>0.019982656357941515</v>
      </c>
      <c r="E101" s="90">
        <f>IFERROR(IF(OR(NOT(ISNUMBER(Metrics!E31)),NOT(ISNUMBER(Data!$B$8))),"-",Metrics!E31/Data!$B$8),"-")</f>
        <v>0.024089344568725107</v>
      </c>
      <c r="F101" s="90">
        <f>IFERROR(IF(OR(NOT(ISNUMBER(Metrics!F31)),NOT(ISNUMBER(Data!$B$8))),"-",Metrics!F31/Data!$B$8),"-")</f>
        <v>0.028898518245715765</v>
      </c>
      <c r="G101" s="90">
        <f>IFERROR(IF(OR(NOT(ISNUMBER(Metrics!G31)),NOT(ISNUMBER(Data!$B$8))),"-",Metrics!G31/Data!$B$8),"-")</f>
        <v>0.029298819309862764</v>
      </c>
      <c r="H101" s="90">
        <f>IFERROR(IF(OR(NOT(ISNUMBER(Metrics!H31)),NOT(ISNUMBER(Data!$B$8))),"-",Metrics!H31/Data!$B$8),"-")</f>
        <v>0.03612644625454299</v>
      </c>
      <c r="I101" s="90">
        <f>IFERROR(IF(OR(NOT(ISNUMBER(Metrics!I31)),NOT(ISNUMBER(Data!$B$8))),"-",Metrics!I31/Data!$B$8),"-")</f>
        <v>0.04217394423847005</v>
      </c>
      <c r="J101" s="90">
        <f>IFERROR(IF(OR(NOT(ISNUMBER(Metrics!J31)),NOT(ISNUMBER(Data!$B$8))),"-",Metrics!J31/Data!$B$8),"-")</f>
        <v>0.06428958987871483</v>
      </c>
      <c r="K101" s="90">
        <f>IFERROR(IF(OR(NOT(ISNUMBER(Metrics!K31)),NOT(ISNUMBER(Data!$B$8))),"-",Metrics!K31/Data!$B$8),"-")</f>
        <v>0.08502673343346348</v>
      </c>
      <c r="L101" s="90">
        <f>IFERROR(IF(OR(NOT(ISNUMBER(Metrics!L31)),NOT(ISNUMBER(Data!$B$8))),"-",Metrics!L31/Data!$B$8),"-")</f>
        <v>0.10033870758282507</v>
      </c>
      <c r="M101" s="261"/>
      <c r="N101" s="249"/>
      <c r="O101" s="249"/>
      <c r="P101" s="249"/>
      <c r="Q101" s="249">
        <f>IFERROR(IF(OR(NOT(ISNUMBER(Data!N53)),NOT(ISNUMBER(Data!O53)),NOT(ISNUMBER(Data!P53)),NOT(ISNUMBER(Data!Q53)),NOT(ISNUMBER(Data!Q28)),NOT(ISNUMBER(Data!$B$8))),"-",((Data!N53+Data!O53+Data!P53+Data!Q53)/Data!Q28)/Data!$B$8),"-")</f>
      </c>
      <c r="R101" s="249">
        <f>IFERROR(IF(OR(NOT(ISNUMBER(Data!O53)),NOT(ISNUMBER(Data!P53)),NOT(ISNUMBER(Data!Q53)),NOT(ISNUMBER(Data!R53)),NOT(ISNUMBER(Data!R28)),NOT(ISNUMBER(Data!$B$8))),"-",((Data!O53+Data!P53+Data!Q53+Data!R53)/Data!R28)/Data!$B$8),"-")</f>
        <v>0.0868399116151386</v>
      </c>
      <c r="S101" s="249">
        <f>IFERROR(IF(OR(NOT(ISNUMBER(Data!P53)),NOT(ISNUMBER(Data!Q53)),NOT(ISNUMBER(Data!R53)),NOT(ISNUMBER(Data!S53)),NOT(ISNUMBER(Data!S28)),NOT(ISNUMBER(Data!$B$8))),"-",((Data!P53+Data!Q53+Data!R53+Data!S53)/Data!S28)/Data!$B$8),"-")</f>
        <v>0.08652354129908413</v>
      </c>
      <c r="T101" s="249">
        <f>IFERROR(IF(OR(NOT(ISNUMBER(Data!Q53)),NOT(ISNUMBER(Data!R53)),NOT(ISNUMBER(Data!S53)),NOT(ISNUMBER(Data!T53)),NOT(ISNUMBER(Data!T28)),NOT(ISNUMBER(Data!$B$8))),"-",((Data!Q53+Data!R53+Data!S53+Data!T53)/Data!T28)/Data!$B$8),"-")</f>
        <v>0.09021691799138733</v>
      </c>
      <c r="U101" s="249">
        <f>IFERROR(IF(OR(NOT(ISNUMBER(Data!R53)),NOT(ISNUMBER(Data!S53)),NOT(ISNUMBER(Data!T53)),NOT(ISNUMBER(Data!U53)),NOT(ISNUMBER(Data!U28)),NOT(ISNUMBER(Data!$B$8))),"-",((Data!R53+Data!S53+Data!T53+Data!U53)/Data!U28)/Data!$B$8),"-")</f>
      </c>
      <c r="V101" s="256">
        <f>IFERROR(IF(OR(NOT(ISNUMBER(Data!S53)),NOT(ISNUMBER(Data!T53)),NOT(ISNUMBER(Data!U53)),NOT(ISNUMBER(Data!V53)),NOT(ISNUMBER(Data!V28)),NOT(ISNUMBER(Data!$B$8))),"-",((Data!S53+Data!T53+Data!U53+Data!V53)/Data!V28)/Data!$B$8),"-")</f>
        <v>0.11211120673135232</v>
      </c>
      <c r="W101" s="463">
        <f>IFERROR(IF(OR(NOT(ISNUMBER(Data!T53)),NOT(ISNUMBER(Data!U53)),NOT(ISNUMBER(Data!V53)),NOT(ISNUMBER(Data!W53)),NOT(ISNUMBER(Data!W28)),NOT(ISNUMBER(Data!$B$8))),"-",((Data!T53+Data!U53+Data!V53+Data!W53)/Data!W28)/Data!$B$8),"-")</f>
      </c>
      <c r="X101" s="463">
        <f>IFERROR(IF(OR(NOT(ISNUMBER(Data!U53)),NOT(ISNUMBER(Data!V53)),NOT(ISNUMBER(Data!W53)),NOT(ISNUMBER(Data!X53)),NOT(ISNUMBER(Data!X28)),NOT(ISNUMBER(Data!$B$8))),"-",((Data!U53+Data!V53+Data!W53+Data!X53)/Data!X28)/Data!$B$8),"-")</f>
      </c>
      <c r="Y101" s="463">
        <f>IFERROR(IF(OR(NOT(ISNUMBER(Data!V53)),NOT(ISNUMBER(Data!W53)),NOT(ISNUMBER(Data!X53)),NOT(ISNUMBER(Data!Y53)),NOT(ISNUMBER(Data!Y28)),NOT(ISNUMBER(Data!$B$8))),"-",((Data!V53+Data!W53+Data!X53+Data!Y53)/Data!Y28)/Data!$B$8),"-")</f>
      </c>
    </row>
    <row r="102" ht="15" customHeight="1" s="74">
      <c r="A102" s="15" t="inlineStr">
        <is>
          <t>Earnings Yield</t>
        </is>
      </c>
      <c r="B102" s="89">
        <f>IFERROR(IF(OR(NOT(ISNUMBER(Data!B27)),NOT(ISNUMBER(Data!$B$8))),"-",Data!B27/Data!$B$8),"-")</f>
        <v>-0.0004662315172505662</v>
      </c>
      <c r="C102" s="89">
        <f>IFERROR(IF(OR(NOT(ISNUMBER(Data!C27)),NOT(ISNUMBER(Data!$B$8))),"-",Data!C27/Data!$B$8),"-")</f>
        <v>0.0017317170640735317</v>
      </c>
      <c r="D102" s="89">
        <f>IFERROR(IF(OR(NOT(ISNUMBER(Data!D27)),NOT(ISNUMBER(Data!$B$8))),"-",Data!D27/Data!$B$8),"-")</f>
        <v>0.0011322765418942322</v>
      </c>
      <c r="E102" s="89">
        <f>IFERROR(IF(OR(NOT(ISNUMBER(Data!E27)),NOT(ISNUMBER(Data!$B$8))),"-",Data!E27/Data!$B$8),"-")</f>
        <v>0.009524443852404424</v>
      </c>
      <c r="F102" s="89">
        <f>IFERROR(IF(OR(NOT(ISNUMBER(Data!F27)),NOT(ISNUMBER(Data!$B$8))),"-",Data!F27/Data!$B$8),"-")</f>
        <v>0.000999067536965499</v>
      </c>
      <c r="G102" s="89">
        <f>IFERROR(IF(OR(NOT(ISNUMBER(Data!G27)),NOT(ISNUMBER(Data!$B$8))),"-",Data!G27/Data!$B$8),"-")</f>
        <v>0.02917277207939257</v>
      </c>
      <c r="H102" s="89">
        <f>IFERROR(IF(OR(NOT(ISNUMBER(Data!H27)),NOT(ISNUMBER(Data!$B$8))),"-",Data!H27/Data!$B$8),"-")</f>
        <v>0.009857466364726257</v>
      </c>
      <c r="I102" s="89">
        <f>IFERROR(IF(OR(NOT(ISNUMBER(Data!I27)),NOT(ISNUMBER(Data!$B$8))),"-",Data!I27/Data!$B$8),"-")</f>
        <v>0.0013986945517516984</v>
      </c>
      <c r="J102" s="89">
        <f>IFERROR(IF(OR(NOT(ISNUMBER(Data!J27)),NOT(ISNUMBER(Data!$B$8))),"-",Data!J27/Data!$B$8),"-")</f>
        <v>0.027973891035033973</v>
      </c>
      <c r="K102" s="89">
        <f>IFERROR(IF(OR(NOT(ISNUMBER(Data!K27)),NOT(ISNUMBER(Data!$B$8))),"-",Data!K27/Data!$B$8),"-")</f>
        <v>0.04236046356733716</v>
      </c>
      <c r="L102" s="89">
        <f>IFERROR(IF(OR(NOT(ISNUMBER(Data!L27)),NOT(ISNUMBER(Data!$B$8))),"-",Data!L27/Data!$B$8),"-")</f>
        <v>0.05195151192220594</v>
      </c>
      <c r="M102" s="261"/>
      <c r="N102" s="250"/>
      <c r="O102" s="250"/>
      <c r="P102" s="250"/>
      <c r="Q102" s="250">
        <f>IFERROR(IF(OR(NOT(ISNUMBER(Data!N27)),NOT(ISNUMBER(Data!O27)),NOT(ISNUMBER(Data!P27)),NOT(ISNUMBER(Data!Q27)),NOT(ISNUMBER(Data!$B$8))),"-",(Data!N27+Data!O27+Data!P27+Data!Q27)/Data!$B$8),"-")</f>
      </c>
      <c r="R102" s="250">
        <f>IFERROR(IF(OR(NOT(ISNUMBER(Data!O27)),NOT(ISNUMBER(Data!P27)),NOT(ISNUMBER(Data!Q27)),NOT(ISNUMBER(Data!R27)),NOT(ISNUMBER(Data!$B$8))),"-",(Data!O27+Data!P27+Data!Q27+Data!R27)/Data!$B$8),"-")</f>
      </c>
      <c r="S102" s="250">
        <f>IFERROR(IF(OR(NOT(ISNUMBER(Data!P27)),NOT(ISNUMBER(Data!Q27)),NOT(ISNUMBER(Data!R27)),NOT(ISNUMBER(Data!S27)),NOT(ISNUMBER(Data!$B$8))),"-",(Data!P27+Data!Q27+Data!R27+Data!S27)/Data!$B$8),"-")</f>
      </c>
      <c r="T102" s="250">
        <f>IFERROR(IF(OR(NOT(ISNUMBER(Data!Q27)),NOT(ISNUMBER(Data!R27)),NOT(ISNUMBER(Data!S27)),NOT(ISNUMBER(Data!T27)),NOT(ISNUMBER(Data!$B$8))),"-",(Data!Q27+Data!R27+Data!S27+Data!T27)/Data!$B$8),"-")</f>
      </c>
      <c r="U102" s="250">
        <f>IFERROR(IF(OR(NOT(ISNUMBER(Data!R27)),NOT(ISNUMBER(Data!S27)),NOT(ISNUMBER(Data!T27)),NOT(ISNUMBER(Data!U27)),NOT(ISNUMBER(Data!$B$8))),"-",(Data!R27+Data!S27+Data!T27+Data!U27)/Data!$B$8),"-")</f>
      </c>
      <c r="V102" s="258">
        <f>IFERROR(IF(OR(NOT(ISNUMBER(Data!S27)),NOT(ISNUMBER(Data!T27)),NOT(ISNUMBER(Data!U27)),NOT(ISNUMBER(Data!V27)),NOT(ISNUMBER(Data!$B$8))),"-",(Data!S27+Data!T27+Data!U27+Data!V27)/Data!$B$8),"-")</f>
      </c>
      <c r="W102" s="463">
        <f>IFERROR(IF(OR(NOT(ISNUMBER(Data!T27)),NOT(ISNUMBER(Data!U27)),NOT(ISNUMBER(Data!V27)),NOT(ISNUMBER(Data!W27)),NOT(ISNUMBER(Data!$B$8))),"-",(Data!T27+Data!U27+Data!V27+Data!W27)/Data!$B$8),"-")</f>
      </c>
      <c r="X102" s="463">
        <f>IFERROR(IF(OR(NOT(ISNUMBER(Data!U27)),NOT(ISNUMBER(Data!V27)),NOT(ISNUMBER(Data!W27)),NOT(ISNUMBER(Data!X27)),NOT(ISNUMBER(Data!$B$8))),"-",(Data!U27+Data!V27+Data!W27+Data!X27)/Data!$B$8),"-")</f>
      </c>
      <c r="Y102" s="463">
        <f>IFERROR(IF(OR(NOT(ISNUMBER(Data!V27)),NOT(ISNUMBER(Data!W27)),NOT(ISNUMBER(Data!X27)),NOT(ISNUMBER(Data!Y27)),NOT(ISNUMBER(Data!$B$8))),"-",(Data!V27+Data!W27+Data!X27+Data!Y27)/Data!$B$8),"-")</f>
      </c>
    </row>
    <row r="103" ht="15" customHeight="1" s="74">
      <c r="A103" s="17" t="inlineStr">
        <is>
          <t>PEG Ratio (3Y / 5Y / 10Y EPS CAGR)</t>
        </is>
      </c>
      <c r="B103" s="2">
        <f>IFERROR(L95/(B156*100),"-")</f>
        <v>0.08238252700232175</v>
      </c>
      <c r="C103" s="2">
        <f>IFERROR(L95/(C156*100),"-")</f>
        <v>1.5733903375115998</v>
      </c>
      <c r="D103" s="2">
        <f>IFERROR(L95/(D156*100),"-")</f>
      </c>
      <c r="E103" s="2"/>
      <c r="F103" s="2"/>
      <c r="G103" s="2"/>
      <c r="H103" s="2"/>
      <c r="I103" s="2"/>
      <c r="J103" s="2"/>
      <c r="K103" s="2"/>
      <c r="L103" s="2"/>
      <c r="M103" s="261"/>
      <c r="N103" s="224"/>
      <c r="O103" s="224"/>
      <c r="P103" s="224"/>
      <c r="Q103" s="224"/>
      <c r="R103" s="224"/>
      <c r="S103" s="224"/>
      <c r="T103" s="224"/>
      <c r="U103" s="224"/>
      <c r="V103" s="224"/>
      <c r="W103" s="466"/>
      <c r="X103" s="466"/>
      <c r="Y103" s="466"/>
    </row>
    <row r="104" ht="15" customHeight="1" s="7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N104" s="10"/>
      <c r="O104" s="10"/>
      <c r="P104" s="10"/>
      <c r="Q104" s="10"/>
      <c r="R104" s="10"/>
      <c r="S104" s="10"/>
      <c r="T104" s="10"/>
      <c r="U104" s="10"/>
    </row>
    <row r="105" ht="19" customHeight="1" s="74">
      <c r="A105" s="226" t="inlineStr">
        <is>
          <t>ALTMAN Z-SCORE</t>
        </is>
      </c>
    </row>
    <row r="106" ht="28" customHeight="1" s="74">
      <c r="A106" s="14" t="inlineStr">
        <is>
          <t>Period</t>
        </is>
      </c>
      <c r="B106" s="14">
        <f>Data!B13</f>
        <v>2016.0</v>
      </c>
      <c r="C106" s="14">
        <f>Data!C13</f>
        <v>2017.0</v>
      </c>
      <c r="D106" s="14">
        <f>Data!D13</f>
        <v>2018.0</v>
      </c>
      <c r="E106" s="14">
        <f>Data!E13</f>
        <v>2019.0</v>
      </c>
      <c r="F106" s="14">
        <f>Data!F13</f>
        <v>2020.0</v>
      </c>
      <c r="G106" s="14">
        <f>Data!G13</f>
        <v>2021.0</v>
      </c>
      <c r="H106" s="14">
        <f>Data!H13</f>
        <v>2022.0</v>
      </c>
      <c r="I106" s="14">
        <f>Data!I13</f>
        <v>2023.0</v>
      </c>
      <c r="J106" s="14">
        <f>Data!J13</f>
        <v>2024.0</v>
      </c>
      <c r="K106" s="14">
        <f>Data!K13</f>
        <v>2025.0</v>
      </c>
      <c r="L106" s="14">
        <f>Data!L13</f>
        <v>2026.0</v>
      </c>
      <c r="N106" s="267" t="inlineStr">
        <is>
          <t xml:space="preserve">Year -2
Q1</t>
        </is>
      </c>
      <c r="O106" s="267" t="inlineStr">
        <is>
          <t xml:space="preserve">Year -2
Q2</t>
        </is>
      </c>
      <c r="P106" s="267" t="inlineStr">
        <is>
          <t xml:space="preserve">Year -2
Q3</t>
        </is>
      </c>
      <c r="Q106" s="267" t="inlineStr">
        <is>
          <t xml:space="preserve">Year -2
Q4</t>
        </is>
      </c>
      <c r="R106" s="267" t="inlineStr">
        <is>
          <t xml:space="preserve">Year -1
Q1</t>
        </is>
      </c>
      <c r="S106" s="267" t="inlineStr">
        <is>
          <t xml:space="preserve">Year -1
Q2</t>
        </is>
      </c>
      <c r="T106" s="267" t="inlineStr">
        <is>
          <t xml:space="preserve">Year -1
Q3</t>
        </is>
      </c>
      <c r="U106" s="267" t="inlineStr">
        <is>
          <t xml:space="preserve">Year -1
Q4</t>
        </is>
      </c>
      <c r="V106" s="267" t="inlineStr">
        <is>
          <t xml:space="preserve">Current Year
Q1</t>
        </is>
      </c>
      <c r="W106" s="267" t="inlineStr">
        <is>
          <t xml:space="preserve">Current Year
Q2</t>
        </is>
      </c>
      <c r="X106" s="267" t="inlineStr">
        <is>
          <t xml:space="preserve">Current Year
Q3</t>
        </is>
      </c>
      <c r="Y106" s="267" t="inlineStr">
        <is>
          <t xml:space="preserve">Current Year
Q4</t>
        </is>
      </c>
    </row>
    <row r="107" ht="15" customHeight="1" s="74">
      <c r="A107" s="17" t="inlineStr">
        <is>
          <t>X1: Working Capital / TA</t>
        </is>
      </c>
      <c r="B107" s="93">
        <f>IFERROR(IF(OR(NOT(ISNUMBER(Data!B37)),NOT(ISNUMBER(Data!B38)),NOT(ISNUMBER(Data!B39))),"-",(Data!B37-Data!B38)/Data!B39),"-")</f>
      </c>
      <c r="C107" s="93">
        <f>IFERROR(IF(OR(NOT(ISNUMBER(Data!C37)),NOT(ISNUMBER(Data!C38)),NOT(ISNUMBER(Data!C39))),"-",(Data!C37-Data!C38)/Data!C39),"-")</f>
        <v>-0.07384956988438336</v>
      </c>
      <c r="D107" s="93">
        <f>IFERROR(IF(OR(NOT(ISNUMBER(Data!D37)),NOT(ISNUMBER(Data!D38)),NOT(ISNUMBER(Data!D39))),"-",(Data!D37-Data!D38)/Data!D39),"-")</f>
        <v>-0.039940738137370396</v>
      </c>
      <c r="E107" s="93">
        <f>IFERROR(IF(OR(NOT(ISNUMBER(Data!E37)),NOT(ISNUMBER(Data!E38)),NOT(ISNUMBER(Data!E39))),"-",(Data!E37-Data!E38)/Data!E39),"-")</f>
        <v>-0.01860949344438299</v>
      </c>
      <c r="F107" s="93">
        <f>IFERROR(IF(OR(NOT(ISNUMBER(Data!F37)),NOT(ISNUMBER(Data!F38)),NOT(ISNUMBER(Data!F39))),"-",(Data!F37-Data!F38)/Data!F39),"-")</f>
        <v>0.0202808112324493</v>
      </c>
      <c r="G107" s="93">
        <f>IFERROR(IF(OR(NOT(ISNUMBER(Data!G37)),NOT(ISNUMBER(Data!G38)),NOT(ISNUMBER(Data!G39))),"-",(Data!G37-Data!G38)/Data!G39),"-")</f>
        <v>0.06275923440068777</v>
      </c>
      <c r="H107" s="93">
        <f>IFERROR(IF(OR(NOT(ISNUMBER(Data!H37)),NOT(ISNUMBER(Data!H38)),NOT(ISNUMBER(Data!H39))),"-",(Data!H37-Data!H38)/Data!H39),"-")</f>
        <v>0.011154407671543657</v>
      </c>
      <c r="I107" s="93">
        <f>IFERROR(IF(OR(NOT(ISNUMBER(Data!I37)),NOT(ISNUMBER(Data!I38)),NOT(ISNUMBER(Data!I39))),"-",(Data!I37-Data!I38)/Data!I39),"-")</f>
        <v>0.005098685874414511</v>
      </c>
      <c r="J107" s="93">
        <f>IFERROR(IF(OR(NOT(ISNUMBER(Data!J37)),NOT(ISNUMBER(Data!J38)),NOT(ISNUMBER(Data!J39))),"-",(Data!J37-Data!J38)/Data!J39),"-")</f>
        <v>0.02447331777245725</v>
      </c>
      <c r="K107" s="93">
        <f>IFERROR(IF(OR(NOT(ISNUMBER(Data!K37)),NOT(ISNUMBER(Data!K38)),NOT(ISNUMBER(Data!K39))),"-",(Data!K37-Data!K38)/Data!K39),"-")</f>
        <v>0.016973029690657546</v>
      </c>
      <c r="L107" s="93">
        <f>IFERROR(IF(OR(NOT(ISNUMBER(Data!L37)),NOT(ISNUMBER(Data!L38)),NOT(ISNUMBER(Data!L39))),"-",(Data!L37-Data!L38)/Data!L39),"-")</f>
        <v>-0.07921285784248253</v>
      </c>
      <c r="M107" s="261"/>
      <c r="N107" s="244"/>
      <c r="O107" s="244"/>
      <c r="P107" s="244"/>
      <c r="Q107" s="244">
        <f>IFERROR(IF(OR(NOT(ISNUMBER(Data!Q37)),NOT(ISNUMBER(Data!Q38)),NOT(ISNUMBER(Data!Q39))),"-",(Data!Q37-Data!Q38)/Data!Q39),"-")</f>
        <v>0.016973029690657546</v>
      </c>
      <c r="R107" s="244">
        <f>IFERROR(IF(OR(NOT(ISNUMBER(Data!R37)),NOT(ISNUMBER(Data!R38)),NOT(ISNUMBER(Data!R39))),"-",(Data!R37-Data!R38)/Data!R39),"-")</f>
        <v>0.016935402089037623</v>
      </c>
      <c r="S107" s="244">
        <f>IFERROR(IF(OR(NOT(ISNUMBER(Data!S37)),NOT(ISNUMBER(Data!S38)),NOT(ISNUMBER(Data!S39))),"-",(Data!S37-Data!S38)/Data!S39),"-")</f>
        <v>0.028686214424072234</v>
      </c>
      <c r="T107" s="244">
        <f>IFERROR(IF(OR(NOT(ISNUMBER(Data!T37)),NOT(ISNUMBER(Data!T38)),NOT(ISNUMBER(Data!T39))),"-",(Data!T37-Data!T38)/Data!T39),"-")</f>
        <v>-0.003647103338098041</v>
      </c>
      <c r="U107" s="244">
        <f>IFERROR(IF(OR(NOT(ISNUMBER(Data!U37)),NOT(ISNUMBER(Data!U38)),NOT(ISNUMBER(Data!U39))),"-",(Data!U37-Data!U38)/Data!U39),"-")</f>
        <v>-0.07921285784248253</v>
      </c>
      <c r="V107" s="256">
        <f>IFERROR(IF(OR(NOT(ISNUMBER(Data!V37)),NOT(ISNUMBER(Data!V38)),NOT(ISNUMBER(Data!V39))),"-",(Data!V37-Data!V38)/Data!V39),"-")</f>
        <v>-0.055202474690663667</v>
      </c>
      <c r="W107" s="463">
        <f>IFERROR(IF(OR(NOT(ISNUMBER(Data!W37)),NOT(ISNUMBER(Data!W38)),NOT(ISNUMBER(Data!W39))),"-",(Data!W37-Data!W38)/Data!W39),"-")</f>
      </c>
      <c r="X107" s="463">
        <f>IFERROR(IF(OR(NOT(ISNUMBER(Data!X37)),NOT(ISNUMBER(Data!X38)),NOT(ISNUMBER(Data!X39))),"-",(Data!X37-Data!X38)/Data!X39),"-")</f>
      </c>
      <c r="Y107" s="463">
        <f>IFERROR(IF(OR(NOT(ISNUMBER(Data!Y37)),NOT(ISNUMBER(Data!Y38)),NOT(ISNUMBER(Data!Y39))),"-",(Data!Y37-Data!Y38)/Data!Y39),"-")</f>
      </c>
    </row>
    <row r="108" ht="15" customHeight="1" s="74">
      <c r="A108" s="15" t="inlineStr">
        <is>
          <t>X2: Retained Earnings / TA</t>
        </is>
      </c>
      <c r="B108" s="83">
        <f>IFERROR(IF(OR(NOT(ISNUMBER(Data!B48)),NOT(ISNUMBER(Data!B39))),"-",Data!B48/Data!B39),"-")</f>
      </c>
      <c r="C108" s="83">
        <f>IFERROR(IF(OR(NOT(ISNUMBER(Data!C48)),NOT(ISNUMBER(Data!C39))),"-",Data!C48/Data!C39),"-")</f>
        <v>-0.02643798895224051</v>
      </c>
      <c r="D108" s="83">
        <f>IFERROR(IF(OR(NOT(ISNUMBER(Data!D48)),NOT(ISNUMBER(Data!D39))),"-",Data!D48/Data!D39),"-")</f>
        <v>-0.016060693956087734</v>
      </c>
      <c r="E108" s="83">
        <f>IFERROR(IF(OR(NOT(ISNUMBER(Data!E48)),NOT(ISNUMBER(Data!E39))),"-",Data!E48/Data!E39),"-")</f>
        <v>0.056446627842665194</v>
      </c>
      <c r="F108" s="83">
        <f>IFERROR(IF(OR(NOT(ISNUMBER(Data!F48)),NOT(ISNUMBER(Data!F39))),"-",Data!F48/Data!F39),"-")</f>
        <v>0.03375902477959584</v>
      </c>
      <c r="G108" s="83">
        <f>IFERROR(IF(OR(NOT(ISNUMBER(Data!G48)),NOT(ISNUMBER(Data!G39))),"-",Data!G48/Data!G39),"-")</f>
        <v>0.08948582977632313</v>
      </c>
      <c r="H108" s="83">
        <f>IFERROR(IF(OR(NOT(ISNUMBER(Data!H48)),NOT(ISNUMBER(Data!H39))),"-",Data!H48/Data!H39),"-")</f>
        <v>0.07748217080318037</v>
      </c>
      <c r="I108" s="83">
        <f>IFERROR(IF(OR(NOT(ISNUMBER(Data!I48)),NOT(ISNUMBER(Data!I39))),"-",Data!I48/Data!I39),"-")</f>
        <v>0.07673319912189298</v>
      </c>
      <c r="J108" s="83">
        <f>IFERROR(IF(OR(NOT(ISNUMBER(Data!J48)),NOT(ISNUMBER(Data!J39))),"-",Data!J48/Data!J39),"-")</f>
        <v>0.11741782955831823</v>
      </c>
      <c r="K108" s="83">
        <f>IFERROR(IF(OR(NOT(ISNUMBER(Data!K48)),NOT(ISNUMBER(Data!K39))),"-",Data!K48/Data!K39),"-")</f>
        <v>0.15903349914503342</v>
      </c>
      <c r="L108" s="83">
        <f>IFERROR(IF(OR(NOT(ISNUMBER(Data!L48)),NOT(ISNUMBER(Data!L39))),"-",Data!L48/Data!L39),"-")</f>
        <v>0.19786296246827834</v>
      </c>
      <c r="M108" s="261"/>
      <c r="N108" s="245"/>
      <c r="O108" s="245"/>
      <c r="P108" s="245"/>
      <c r="Q108" s="245">
        <f>IFERROR(IF(OR(NOT(ISNUMBER(Data!Q48)),NOT(ISNUMBER(Data!Q39))),"-",Data!Q48/Data!Q39),"-")</f>
        <v>0.15903349914503342</v>
      </c>
      <c r="R108" s="245">
        <f>IFERROR(IF(OR(NOT(ISNUMBER(Data!R48)),NOT(ISNUMBER(Data!R39))),"-",Data!R48/Data!R39),"-")</f>
        <v>0.1775073521955177</v>
      </c>
      <c r="S108" s="245">
        <f>IFERROR(IF(OR(NOT(ISNUMBER(Data!S48)),NOT(ISNUMBER(Data!S39))),"-",Data!S48/Data!S39),"-")</f>
        <v>0.19459276644153609</v>
      </c>
      <c r="T108" s="245">
        <f>IFERROR(IF(OR(NOT(ISNUMBER(Data!T48)),NOT(ISNUMBER(Data!T39))),"-",Data!T48/Data!T39),"-")</f>
        <v>0.21728117379971412</v>
      </c>
      <c r="U108" s="245">
        <f>IFERROR(IF(OR(NOT(ISNUMBER(Data!U48)),NOT(ISNUMBER(Data!U39))),"-",Data!U48/Data!U39),"-")</f>
        <v>0.19786296246827834</v>
      </c>
      <c r="V108" s="258">
        <f>IFERROR(IF(OR(NOT(ISNUMBER(Data!V48)),NOT(ISNUMBER(Data!V39))),"-",Data!V48/Data!V39),"-")</f>
        <v>0.22454068241469816</v>
      </c>
      <c r="W108" s="463">
        <f>IFERROR(IF(OR(NOT(ISNUMBER(Data!W48)),NOT(ISNUMBER(Data!W39))),"-",Data!W48/Data!W39),"-")</f>
      </c>
      <c r="X108" s="463">
        <f>IFERROR(IF(OR(NOT(ISNUMBER(Data!X48)),NOT(ISNUMBER(Data!X39))),"-",Data!X48/Data!X39),"-")</f>
      </c>
      <c r="Y108" s="463">
        <f>IFERROR(IF(OR(NOT(ISNUMBER(Data!Y48)),NOT(ISNUMBER(Data!Y39))),"-",Data!Y48/Data!Y39),"-")</f>
      </c>
    </row>
    <row r="109" ht="15" customHeight="1" s="74">
      <c r="A109" s="17" t="inlineStr">
        <is>
          <t>X3: EBIT / TA (GAAP)</t>
        </is>
      </c>
      <c r="B109" s="93">
        <f>IFERROR(IF(OR(NOT(ISNUMBER(Data!B22)),NOT(ISNUMBER(Data!B39))),"-",Data!B22/Data!B39),"-")</f>
      </c>
      <c r="C109" s="93">
        <f>IFERROR(IF(OR(NOT(ISNUMBER(Data!C22)),NOT(ISNUMBER(Data!C39))),"-",Data!C22/Data!C39),"-")</f>
        <v>0.0036524470422759315</v>
      </c>
      <c r="D109" s="93">
        <f>IFERROR(IF(OR(NOT(ISNUMBER(Data!D22)),NOT(ISNUMBER(Data!D39))),"-",Data!D22/Data!D39),"-")</f>
        <v>0.011221809705774476</v>
      </c>
      <c r="E109" s="93">
        <f>IFERROR(IF(OR(NOT(ISNUMBER(Data!E22)),NOT(ISNUMBER(Data!E39))),"-",Data!E22/Data!E39),"-")</f>
        <v>0.017405732504798776</v>
      </c>
      <c r="F109" s="93">
        <f>IFERROR(IF(OR(NOT(ISNUMBER(Data!F22)),NOT(ISNUMBER(Data!F39))),"-",Data!F22/Data!F39),"-")</f>
        <v>0.005387657366759786</v>
      </c>
      <c r="G109" s="93">
        <f>IFERROR(IF(OR(NOT(ISNUMBER(Data!G22)),NOT(ISNUMBER(Data!G39))),"-",Data!G22/Data!G39),"-")</f>
        <v>0.006862641589116303</v>
      </c>
      <c r="H109" s="93">
        <f>IFERROR(IF(OR(NOT(ISNUMBER(Data!H22)),NOT(ISNUMBER(Data!H39))),"-",Data!H22/Data!H39),"-")</f>
        <v>0.005755758384186369</v>
      </c>
      <c r="I109" s="93">
        <f>IFERROR(IF(OR(NOT(ISNUMBER(Data!I22)),NOT(ISNUMBER(Data!I39))),"-",Data!I22/Data!I39),"-")</f>
        <v>0.010419933433823306</v>
      </c>
      <c r="J109" s="93">
        <f>IFERROR(IF(OR(NOT(ISNUMBER(Data!J22)),NOT(ISNUMBER(Data!J39))),"-",Data!J22/Data!J39),"-")</f>
        <v>0.05019885196798333</v>
      </c>
      <c r="K109" s="93">
        <f>IFERROR(IF(OR(NOT(ISNUMBER(Data!K22)),NOT(ISNUMBER(Data!K39))),"-",Data!K22/Data!K39),"-")</f>
        <v>0.07000038862117208</v>
      </c>
      <c r="L109" s="93">
        <f>IFERROR(IF(OR(NOT(ISNUMBER(Data!L22)),NOT(ISNUMBER(Data!L39))),"-",Data!L22/Data!L39),"-")</f>
        <v>0.07418191531988781</v>
      </c>
      <c r="M109" s="261"/>
      <c r="N109" s="244"/>
      <c r="O109" s="244"/>
      <c r="P109" s="244"/>
      <c r="Q109" s="244">
        <f>IFERROR(IF(OR(NOT(ISNUMBER(Data!N22)),NOT(ISNUMBER(Data!O22)),NOT(ISNUMBER(Data!P22)),NOT(ISNUMBER(Data!Q22)),NOT(ISNUMBER(Data!Q39))),"-",(Data!N22+Data!O22+Data!P22+Data!Q22)/Data!Q39),"-")</f>
        <v>0.07000038862117208</v>
      </c>
      <c r="R109" s="244">
        <f>IFERROR(IF(OR(NOT(ISNUMBER(Data!O22)),NOT(ISNUMBER(Data!P22)),NOT(ISNUMBER(Data!Q22)),NOT(ISNUMBER(Data!R22)),NOT(ISNUMBER(Data!R39))),"-",(Data!O22+Data!P22+Data!Q22+Data!R22)/Data!R39),"-")</f>
        <v>0.07542845553189331</v>
      </c>
      <c r="S109" s="244">
        <f>IFERROR(IF(OR(NOT(ISNUMBER(Data!P22)),NOT(ISNUMBER(Data!Q22)),NOT(ISNUMBER(Data!R22)),NOT(ISNUMBER(Data!S22)),NOT(ISNUMBER(Data!S39))),"-",(Data!P22+Data!Q22+Data!R22+Data!S22)/Data!S39),"-")</f>
        <v>0.08185666116651123</v>
      </c>
      <c r="T109" s="244">
        <f>IFERROR(IF(OR(NOT(ISNUMBER(Data!Q22)),NOT(ISNUMBER(Data!R22)),NOT(ISNUMBER(Data!S22)),NOT(ISNUMBER(Data!T22)),NOT(ISNUMBER(Data!T39))),"-",(Data!Q22+Data!R22+Data!S22+Data!T22)/Data!T39),"-")</f>
        <v>0.08704700243840915</v>
      </c>
      <c r="U109" s="244">
        <f>IFERROR(IF(OR(NOT(ISNUMBER(Data!R22)),NOT(ISNUMBER(Data!S22)),NOT(ISNUMBER(Data!T22)),NOT(ISNUMBER(Data!U22)),NOT(ISNUMBER(Data!U39))),"-",(Data!R22+Data!S22+Data!T22+Data!U22)/Data!U39),"-")</f>
        <v>0.07418191531988781</v>
      </c>
      <c r="V109" s="256">
        <f>IFERROR(IF(OR(NOT(ISNUMBER(Data!S22)),NOT(ISNUMBER(Data!T22)),NOT(ISNUMBER(Data!U22)),NOT(ISNUMBER(Data!V22)),NOT(ISNUMBER(Data!V39))),"-",(Data!S22+Data!T22+Data!U22+Data!V22)/Data!V39),"-")</f>
        <v>0.08188976377952756</v>
      </c>
      <c r="W109" s="256">
        <f>IFERROR(IF(OR(NOT(ISNUMBER(Data!T22)),NOT(ISNUMBER(Data!U22)),NOT(ISNUMBER(Data!V22)),NOT(ISNUMBER(Data!W22)),NOT(ISNUMBER(Data!W39))),"-",(Data!T22+Data!U22+Data!V22+Data!W22)/Data!W39),"-")</f>
      </c>
      <c r="X109" s="256">
        <f>IFERROR(IF(OR(NOT(ISNUMBER(Data!U22)),NOT(ISNUMBER(Data!V22)),NOT(ISNUMBER(Data!W22)),NOT(ISNUMBER(Data!X22)),NOT(ISNUMBER(Data!X39))),"-",(Data!U22+Data!V22+Data!W22+Data!X22)/Data!X39),"-")</f>
      </c>
      <c r="Y109" s="256">
        <f>IFERROR(IF(OR(NOT(ISNUMBER(Data!V22)),NOT(ISNUMBER(Data!W22)),NOT(ISNUMBER(Data!X22)),NOT(ISNUMBER(Data!Y22)),NOT(ISNUMBER(Data!Y39))),"-",(Data!V22+Data!W22+Data!X22+Data!Y22)/Data!Y39),"-")</f>
      </c>
    </row>
    <row r="110" ht="15" customHeight="1" s="74">
      <c r="A110" s="15" t="inlineStr">
        <is>
          <t>X4: Equity / TL (book proxy)</t>
        </is>
      </c>
      <c r="B110" s="83">
        <f>IFERROR(IF(OR(NOT(ISNUMBER(Data!B41)),NOT(ISNUMBER(Data!B40))),"-",Data!B41/Data!B40),"-")</f>
      </c>
      <c r="C110" s="83">
        <f>IFERROR(IF(OR(NOT(ISNUMBER(Data!C41)),NOT(ISNUMBER(Data!C40))),"-",Data!C41/Data!C40),"-")</f>
        <v>0.7437063674862635</v>
      </c>
      <c r="D110" s="83">
        <f>IFERROR(IF(OR(NOT(ISNUMBER(Data!D41)),NOT(ISNUMBER(Data!D40))),"-",Data!D41/Data!D40),"-")</f>
        <v>0.8081381791632389</v>
      </c>
      <c r="E110" s="83">
        <f>IFERROR(IF(OR(NOT(ISNUMBER(Data!E41)),NOT(ISNUMBER(Data!E40))),"-",Data!E41/Data!E40),"-")</f>
        <v>1.031258260639704</v>
      </c>
      <c r="F110" s="83">
        <f>IFERROR(IF(OR(NOT(ISNUMBER(Data!F41)),NOT(ISNUMBER(Data!F40))),"-",Data!F41/Data!F40),"-")</f>
        <v>1.5952638764653264</v>
      </c>
      <c r="G110" s="83">
        <f>IFERROR(IF(OR(NOT(ISNUMBER(Data!G41)),NOT(ISNUMBER(Data!G40))),"-",Data!G41/Data!G40),"-")</f>
        <v>1.67256530151564</v>
      </c>
      <c r="H110" s="83">
        <f>IFERROR(IF(OR(NOT(ISNUMBER(Data!H41)),NOT(ISNUMBER(Data!H40))),"-",Data!H41/Data!H40),"-")</f>
        <v>1.5678030098710827</v>
      </c>
      <c r="I110" s="83">
        <f>IFERROR(IF(OR(NOT(ISNUMBER(Data!I41)),NOT(ISNUMBER(Data!I40))),"-",Data!I41/Data!I40),"-")</f>
        <v>1.4413188441590516</v>
      </c>
      <c r="J110" s="83">
        <f>IFERROR(IF(OR(NOT(ISNUMBER(Data!J41)),NOT(ISNUMBER(Data!J40))),"-",Data!J41/Data!J40),"-")</f>
        <v>1.4845807302685616</v>
      </c>
      <c r="K110" s="83">
        <f>IFERROR(IF(OR(NOT(ISNUMBER(Data!K41)),NOT(ISNUMBER(Data!K40))),"-",Data!K41/Data!K40),"-")</f>
        <v>1.465046102263202</v>
      </c>
      <c r="L110" s="83">
        <f>IFERROR(IF(OR(NOT(ISNUMBER(Data!L41)),NOT(ISNUMBER(Data!L40))),"-",Data!L41/Data!L40),"-")</f>
        <v>1.1124654364877828</v>
      </c>
      <c r="M110" s="261"/>
      <c r="N110" s="245"/>
      <c r="O110" s="245"/>
      <c r="P110" s="245"/>
      <c r="Q110" s="245">
        <f>IFERROR(IF(OR(NOT(ISNUMBER(Data!Q41)),NOT(ISNUMBER(Data!Q40))),"-",Data!Q41/Data!Q40),"-")</f>
        <v>1.465046102263202</v>
      </c>
      <c r="R110" s="245">
        <f>IFERROR(IF(OR(NOT(ISNUMBER(Data!R41)),NOT(ISNUMBER(Data!R40))),"-",Data!R41/Data!R40),"-")</f>
        <v>1.5988298545224542</v>
      </c>
      <c r="S110" s="245">
        <f>IFERROR(IF(OR(NOT(ISNUMBER(Data!S41)),NOT(ISNUMBER(Data!S40))),"-",Data!S41/Data!S40),"-")</f>
        <v>1.6920402814181266</v>
      </c>
      <c r="T110" s="245">
        <f>IFERROR(IF(OR(NOT(ISNUMBER(Data!T41)),NOT(ISNUMBER(Data!T40))),"-",Data!T41/Data!T40),"-")</f>
        <v>1.708880220937847</v>
      </c>
      <c r="U110" s="245">
        <f>IFERROR(IF(OR(NOT(ISNUMBER(Data!U41)),NOT(ISNUMBER(Data!U40))),"-",Data!U41/Data!U40),"-")</f>
        <v>1.1124654364877828</v>
      </c>
      <c r="V110" s="258">
        <f>IFERROR(IF(OR(NOT(ISNUMBER(Data!V41)),NOT(ISNUMBER(Data!V40))),"-",Data!V41/Data!V40),"-")</f>
        <v>0.4725653944371592</v>
      </c>
      <c r="W110" s="463">
        <f>IFERROR(IF(OR(NOT(ISNUMBER(Data!W41)),NOT(ISNUMBER(Data!W40))),"-",Data!W41/Data!W40),"-")</f>
      </c>
      <c r="X110" s="463">
        <f>IFERROR(IF(OR(NOT(ISNUMBER(Data!X41)),NOT(ISNUMBER(Data!X40))),"-",Data!X41/Data!X40),"-")</f>
      </c>
      <c r="Y110" s="463">
        <f>IFERROR(IF(OR(NOT(ISNUMBER(Data!Y41)),NOT(ISNUMBER(Data!Y40))),"-",Data!Y41/Data!Y40),"-")</f>
      </c>
    </row>
    <row r="111" ht="15" customHeight="1" s="74">
      <c r="A111" s="17" t="inlineStr">
        <is>
          <t>X5: Revenue / TA</t>
        </is>
      </c>
      <c r="B111" s="93">
        <f>IFERROR(IF(OR(NOT(ISNUMBER(Data!B14)),NOT(ISNUMBER(Data!B39))),"-",Data!B14/Data!B39),"-")</f>
      </c>
      <c r="C111" s="93">
        <f>IFERROR(IF(OR(NOT(ISNUMBER(Data!C14)),NOT(ISNUMBER(Data!C39))),"-",Data!C14/Data!C39),"-")</f>
        <v>0.4772260873704139</v>
      </c>
      <c r="D111" s="93">
        <f>IFERROR(IF(OR(NOT(ISNUMBER(Data!D14)),NOT(ISNUMBER(Data!D39))),"-",Data!D14/Data!D39),"-")</f>
        <v>0.4988153624674807</v>
      </c>
      <c r="E111" s="93">
        <f>IFERROR(IF(OR(NOT(ISNUMBER(Data!E14)),NOT(ISNUMBER(Data!E39))),"-",Data!E14/Data!E39),"-")</f>
        <v>0.43211764323128476</v>
      </c>
      <c r="F111" s="93">
        <f>IFERROR(IF(OR(NOT(ISNUMBER(Data!F14)),NOT(ISNUMBER(Data!F39))),"-",Data!F14/Data!F39),"-")</f>
        <v>0.3101621739288176</v>
      </c>
      <c r="G111" s="93">
        <f>IFERROR(IF(OR(NOT(ISNUMBER(Data!G14)),NOT(ISNUMBER(Data!G39))),"-",Data!G14/Data!G39),"-")</f>
        <v>0.32053815176241685</v>
      </c>
      <c r="H111" s="93">
        <f>IFERROR(IF(OR(NOT(ISNUMBER(Data!H14)),NOT(ISNUMBER(Data!H39))),"-",Data!H14/Data!H39),"-")</f>
        <v>0.27825100568223593</v>
      </c>
      <c r="I111" s="93">
        <f>IFERROR(IF(OR(NOT(ISNUMBER(Data!I14)),NOT(ISNUMBER(Data!I39))),"-",Data!I14/Data!I39),"-")</f>
        <v>0.31717063399730905</v>
      </c>
      <c r="J111" s="93">
        <f>IFERROR(IF(OR(NOT(ISNUMBER(Data!J14)),NOT(ISNUMBER(Data!J39))),"-",Data!J14/Data!J39),"-")</f>
        <v>0.3491880628712822</v>
      </c>
      <c r="K111" s="93">
        <f>IFERROR(IF(OR(NOT(ISNUMBER(Data!K14)),NOT(ISNUMBER(Data!K39))),"-",Data!K14/Data!K39),"-")</f>
        <v>0.36816998290066844</v>
      </c>
      <c r="L111" s="93">
        <f>IFERROR(IF(OR(NOT(ISNUMBER(Data!L14)),NOT(ISNUMBER(Data!L39))),"-",Data!L14/Data!L39),"-")</f>
        <v>0.3697520146030898</v>
      </c>
      <c r="M111" s="261"/>
      <c r="N111" s="244"/>
      <c r="O111" s="244"/>
      <c r="P111" s="244"/>
      <c r="Q111" s="244">
        <f>IFERROR(IF(OR(NOT(ISNUMBER(Data!N14)),NOT(ISNUMBER(Data!O14)),NOT(ISNUMBER(Data!P14)),NOT(ISNUMBER(Data!Q14)),NOT(ISNUMBER(Data!Q39))),"-",(Data!N14+Data!O14+Data!P14+Data!Q14)/Data!Q39),"-")</f>
        <v>0.36816998290066844</v>
      </c>
      <c r="R111" s="244">
        <f>IFERROR(IF(OR(NOT(ISNUMBER(Data!O14)),NOT(ISNUMBER(Data!P14)),NOT(ISNUMBER(Data!Q14)),NOT(ISNUMBER(Data!R14)),NOT(ISNUMBER(Data!R39))),"-",(Data!O14+Data!P14+Data!Q14+Data!R14)/Data!R39),"-")</f>
        <v>0.3913497616874556</v>
      </c>
      <c r="S111" s="244">
        <f>IFERROR(IF(OR(NOT(ISNUMBER(Data!P14)),NOT(ISNUMBER(Data!Q14)),NOT(ISNUMBER(Data!R14)),NOT(ISNUMBER(Data!S14)),NOT(ISNUMBER(Data!S39))),"-",(Data!P14+Data!Q14+Data!R14+Data!S14)/Data!S39),"-")</f>
        <v>0.4048456027794574</v>
      </c>
      <c r="T111" s="244">
        <f>IFERROR(IF(OR(NOT(ISNUMBER(Data!Q14)),NOT(ISNUMBER(Data!R14)),NOT(ISNUMBER(Data!S14)),NOT(ISNUMBER(Data!T14)),NOT(ISNUMBER(Data!T39))),"-",(Data!Q14+Data!R14+Data!S14+Data!T14)/Data!T39),"-")</f>
        <v>0.4237471621962499</v>
      </c>
      <c r="U111" s="244">
        <f>IFERROR(IF(OR(NOT(ISNUMBER(Data!R14)),NOT(ISNUMBER(Data!S14)),NOT(ISNUMBER(Data!T14)),NOT(ISNUMBER(Data!U14)),NOT(ISNUMBER(Data!U39))),"-",(Data!R14+Data!S14+Data!T14+Data!U14)/Data!U39),"-")</f>
        <v>0.3697520146030898</v>
      </c>
      <c r="V111" s="256">
        <f>IFERROR(IF(OR(NOT(ISNUMBER(Data!S14)),NOT(ISNUMBER(Data!T14)),NOT(ISNUMBER(Data!U14)),NOT(ISNUMBER(Data!V14)),NOT(ISNUMBER(Data!V39))),"-",(Data!S14+Data!T14+Data!U14+Data!V14)/Data!V39),"-")</f>
        <v>0.4014716910386202</v>
      </c>
      <c r="W111" s="463">
        <f>IFERROR(IF(OR(NOT(ISNUMBER(Data!T14)),NOT(ISNUMBER(Data!U14)),NOT(ISNUMBER(Data!V14)),NOT(ISNUMBER(Data!W14)),NOT(ISNUMBER(Data!W39))),"-",(Data!T14+Data!U14+Data!V14+Data!W14)/Data!W39),"-")</f>
      </c>
      <c r="X111" s="463">
        <f>IFERROR(IF(OR(NOT(ISNUMBER(Data!U14)),NOT(ISNUMBER(Data!V14)),NOT(ISNUMBER(Data!W14)),NOT(ISNUMBER(Data!X14)),NOT(ISNUMBER(Data!X39))),"-",(Data!U14+Data!V14+Data!W14+Data!X14)/Data!X39),"-")</f>
      </c>
      <c r="Y111" s="463">
        <f>IFERROR(IF(OR(NOT(ISNUMBER(Data!V14)),NOT(ISNUMBER(Data!W14)),NOT(ISNUMBER(Data!X14)),NOT(ISNUMBER(Data!Y14)),NOT(ISNUMBER(Data!Y39))),"-",(Data!V14+Data!W14+Data!X14+Data!Y14)/Data!Y39),"-")</f>
      </c>
    </row>
    <row r="112" ht="15" customHeight="1" s="74">
      <c r="A112" s="31" t="inlineStr">
        <is>
          <t>Altman Z-Score</t>
        </is>
      </c>
      <c r="B112" s="83">
        <f>IFERROR(IF(OR(NOT(ISNUMBER(Metrics!B107)),NOT(ISNUMBER(Metrics!B108)),NOT(ISNUMBER(Metrics!B109)),NOT(ISNUMBER(Metrics!B110)),NOT(ISNUMBER(Metrics!B111))),"-",1.2*Metrics!B107+1.4*Metrics!B108+3.3*Metrics!B109+0.6*Metrics!B110+1*Metrics!B111),"-")</f>
      </c>
      <c r="C112" s="83">
        <f>IFERROR(IF(OR(NOT(ISNUMBER(Metrics!C107)),NOT(ISNUMBER(Metrics!C108)),NOT(ISNUMBER(Metrics!C109)),NOT(ISNUMBER(Metrics!C110)),NOT(ISNUMBER(Metrics!C111))),"-",1.2*Metrics!C107+1.4*Metrics!C108+3.3*Metrics!C109+0.6*Metrics!C110+1*Metrics!C111),"-")</f>
        <v>0.8098703147072859</v>
      </c>
      <c r="D112" s="83">
        <f>IFERROR(IF(OR(NOT(ISNUMBER(Metrics!D107)),NOT(ISNUMBER(Metrics!D108)),NOT(ISNUMBER(Metrics!D109)),NOT(ISNUMBER(Metrics!D110)),NOT(ISNUMBER(Metrics!D111))),"-",1.2*Metrics!D107+1.4*Metrics!D108+3.3*Metrics!D109+0.6*Metrics!D110+1*Metrics!D111),"-")</f>
        <v>0.9503163846911125</v>
      </c>
      <c r="E112" s="83">
        <f>IFERROR(IF(OR(NOT(ISNUMBER(Metrics!E107)),NOT(ISNUMBER(Metrics!E108)),NOT(ISNUMBER(Metrics!E109)),NOT(ISNUMBER(Metrics!E110)),NOT(ISNUMBER(Metrics!E111))),"-",1.2*Metrics!E107+1.4*Metrics!E108+3.3*Metrics!E109+0.6*Metrics!E110+1*Metrics!E111),"-")</f>
        <v>1.165005403727415</v>
      </c>
      <c r="F112" s="83">
        <f>IFERROR(IF(OR(NOT(ISNUMBER(Metrics!F107)),NOT(ISNUMBER(Metrics!F108)),NOT(ISNUMBER(Metrics!F109)),NOT(ISNUMBER(Metrics!F110)),NOT(ISNUMBER(Metrics!F111))),"-",1.2*Metrics!F107+1.4*Metrics!F108+3.3*Metrics!F109+0.6*Metrics!F110+1*Metrics!F111),"-")</f>
        <v>1.356699377288694</v>
      </c>
      <c r="G112" s="83">
        <f>IFERROR(IF(OR(NOT(ISNUMBER(Metrics!G107)),NOT(ISNUMBER(Metrics!G108)),NOT(ISNUMBER(Metrics!G109)),NOT(ISNUMBER(Metrics!G110)),NOT(ISNUMBER(Metrics!G111))),"-",1.2*Metrics!G107+1.4*Metrics!G108+3.3*Metrics!G109+0.6*Metrics!G110+1*Metrics!G111),"-")</f>
        <v>1.5473152928835625</v>
      </c>
      <c r="H112" s="83">
        <f>IFERROR(IF(OR(NOT(ISNUMBER(Metrics!H107)),NOT(ISNUMBER(Metrics!H108)),NOT(ISNUMBER(Metrics!H109)),NOT(ISNUMBER(Metrics!H110)),NOT(ISNUMBER(Metrics!H111))),"-",1.2*Metrics!H107+1.4*Metrics!H108+3.3*Metrics!H109+0.6*Metrics!H110+1*Metrics!H111),"-")</f>
        <v>1.3597871426030053</v>
      </c>
      <c r="I112" s="83">
        <f>IFERROR(IF(OR(NOT(ISNUMBER(Metrics!I107)),NOT(ISNUMBER(Metrics!I108)),NOT(ISNUMBER(Metrics!I109)),NOT(ISNUMBER(Metrics!I110)),NOT(ISNUMBER(Metrics!I111))),"-",1.2*Metrics!I107+1.4*Metrics!I108+3.3*Metrics!I109+0.6*Metrics!I110+1*Metrics!I111),"-")</f>
        <v>1.3298926226443046</v>
      </c>
      <c r="J112" s="83">
        <f>IFERROR(IF(OR(NOT(ISNUMBER(Metrics!J107)),NOT(ISNUMBER(Metrics!J108)),NOT(ISNUMBER(Metrics!J109)),NOT(ISNUMBER(Metrics!J110)),NOT(ISNUMBER(Metrics!J111))),"-",1.2*Metrics!J107+1.4*Metrics!J108+3.3*Metrics!J109+0.6*Metrics!J110+1*Metrics!J111),"-")</f>
        <v>1.5993456552353584</v>
      </c>
      <c r="K112" s="83">
        <f>IFERROR(IF(OR(NOT(ISNUMBER(Metrics!K107)),NOT(ISNUMBER(Metrics!K108)),NOT(ISNUMBER(Metrics!K109)),NOT(ISNUMBER(Metrics!K110)),NOT(ISNUMBER(Metrics!K111))),"-",1.2*Metrics!K107+1.4*Metrics!K108+3.3*Metrics!K109+0.6*Metrics!K110+1*Metrics!K111),"-")</f>
        <v>1.7212134611402932</v>
      </c>
      <c r="L112" s="83">
        <f>IFERROR(IF(OR(NOT(ISNUMBER(Metrics!L107)),NOT(ISNUMBER(Metrics!L108)),NOT(ISNUMBER(Metrics!L109)),NOT(ISNUMBER(Metrics!L110)),NOT(ISNUMBER(Metrics!L111))),"-",1.2*Metrics!L107+1.4*Metrics!L108+3.3*Metrics!L109+0.6*Metrics!L110+1*Metrics!L111),"-")</f>
        <v>1.463984315096</v>
      </c>
      <c r="M112" s="261"/>
      <c r="N112" s="245"/>
      <c r="O112" s="245"/>
      <c r="P112" s="245"/>
      <c r="Q112" s="245">
        <f>IFERROR(IF(OR(NOT(ISNUMBER(Metrics!Q107)),NOT(ISNUMBER(Metrics!Q108)),NOT(ISNUMBER(Metrics!Q109)),NOT(ISNUMBER(Metrics!Q110)),NOT(ISNUMBER(Metrics!Q111))),"-",1.2*Metrics!Q107+1.4*Metrics!Q108+3.3*Metrics!Q109+0.6*Metrics!Q110+1*Metrics!Q111),"-")</f>
        <v>1.7212134611402932</v>
      </c>
      <c r="R112" s="245">
        <f>IFERROR(IF(OR(NOT(ISNUMBER(Metrics!R107)),NOT(ISNUMBER(Metrics!R108)),NOT(ISNUMBER(Metrics!R109)),NOT(ISNUMBER(Metrics!R110)),NOT(ISNUMBER(Metrics!R111))),"-",1.2*Metrics!R107+1.4*Metrics!R108+3.3*Metrics!R109+0.6*Metrics!R110+1*Metrics!R111),"-")</f>
        <v>1.868394353236746</v>
      </c>
      <c r="S112" s="245">
        <f>IFERROR(IF(OR(NOT(ISNUMBER(Metrics!S107)),NOT(ISNUMBER(Metrics!S108)),NOT(ISNUMBER(Metrics!S109)),NOT(ISNUMBER(Metrics!S110)),NOT(ISNUMBER(Metrics!S111))),"-",1.2*Metrics!S107+1.4*Metrics!S108+3.3*Metrics!S109+0.6*Metrics!S110+1*Metrics!S111),"-")</f>
        <v>1.9970500838068574</v>
      </c>
      <c r="T112" s="245">
        <f>IFERROR(IF(OR(NOT(ISNUMBER(Metrics!T107)),NOT(ISNUMBER(Metrics!T108)),NOT(ISNUMBER(Metrics!T109)),NOT(ISNUMBER(Metrics!T110)),NOT(ISNUMBER(Metrics!T111))),"-",1.2*Metrics!T107+1.4*Metrics!T108+3.3*Metrics!T109+0.6*Metrics!T110+1*Metrics!T111),"-")</f>
        <v>2.0361475221195904</v>
      </c>
      <c r="U112" s="245">
        <f>IFERROR(IF(OR(NOT(ISNUMBER(Metrics!U107)),NOT(ISNUMBER(Metrics!U108)),NOT(ISNUMBER(Metrics!U109)),NOT(ISNUMBER(Metrics!U110)),NOT(ISNUMBER(Metrics!U111))),"-",1.2*Metrics!U107+1.4*Metrics!U108+3.3*Metrics!U109+0.6*Metrics!U110+1*Metrics!U111),"-")</f>
        <v>1.463984315096</v>
      </c>
      <c r="V112" s="258">
        <f>IFERROR(IF(OR(NOT(ISNUMBER(Metrics!V107)),NOT(ISNUMBER(Metrics!V108)),NOT(ISNUMBER(Metrics!V109)),NOT(ISNUMBER(Metrics!V110)),NOT(ISNUMBER(Metrics!V111))),"-",1.2*Metrics!V107+1.4*Metrics!V108+3.3*Metrics!V109+0.6*Metrics!V110+1*Metrics!V111),"-")</f>
        <v>1.2033611339251378</v>
      </c>
      <c r="W112" s="463">
        <f>IFERROR(IF(OR(NOT(ISNUMBER(Metrics!W107)),NOT(ISNUMBER(Metrics!W108)),NOT(ISNUMBER(Metrics!W109)),NOT(ISNUMBER(Metrics!W110)),NOT(ISNUMBER(Metrics!W111))),"-",1.2*Metrics!W107+1.4*Metrics!W108+3.3*Metrics!W109+0.6*Metrics!W110+1*Metrics!W111),"-")</f>
      </c>
      <c r="X112" s="463">
        <f>IFERROR(IF(OR(NOT(ISNUMBER(Metrics!X107)),NOT(ISNUMBER(Metrics!X108)),NOT(ISNUMBER(Metrics!X109)),NOT(ISNUMBER(Metrics!X110)),NOT(ISNUMBER(Metrics!X111))),"-",1.2*Metrics!X107+1.4*Metrics!X108+3.3*Metrics!X109+0.6*Metrics!X110+1*Metrics!X111),"-")</f>
      </c>
      <c r="Y112" s="463">
        <f>IFERROR(IF(OR(NOT(ISNUMBER(Metrics!Y107)),NOT(ISNUMBER(Metrics!Y108)),NOT(ISNUMBER(Metrics!Y109)),NOT(ISNUMBER(Metrics!Y110)),NOT(ISNUMBER(Metrics!Y111))),"-",1.2*Metrics!Y107+1.4*Metrics!Y108+3.3*Metrics!Y109+0.6*Metrics!Y110+1*Metrics!Y111),"-")</f>
      </c>
    </row>
    <row r="113" ht="15" customHeight="1" s="74">
      <c r="A113" s="32" t="inlineStr">
        <is>
          <t>Zone (&gt;2.99=Safe, 1.81-2.99=Gray, &lt;1.81=Distress)</t>
        </is>
      </c>
      <c r="B113" s="33" t="str">
        <f>IFERROR(IF(B112&gt;2.99,"Safe",IF(B112&gt;1.81,"Gray","Distress")),"-")</f>
        <v>Distress</v>
      </c>
      <c r="C113" s="33" t="str">
        <f>IFERROR(IF(C112&gt;2.99,"Safe",IF(C112&gt;1.81,"Gray","Distress")),"-")</f>
        <v>Distress</v>
      </c>
      <c r="D113" s="33" t="str">
        <f>IFERROR(IF(D112&gt;2.99,"Safe",IF(D112&gt;1.81,"Gray","Distress")),"-")</f>
        <v>Distress</v>
      </c>
      <c r="E113" s="33" t="str">
        <f>IFERROR(IF(E112&gt;2.99,"Safe",IF(E112&gt;1.81,"Gray","Distress")),"-")</f>
        <v>Distress</v>
      </c>
      <c r="F113" s="33" t="str">
        <f>IFERROR(IF(F112&gt;2.99,"Safe",IF(F112&gt;1.81,"Gray","Distress")),"-")</f>
        <v>Distress</v>
      </c>
      <c r="G113" s="33" t="str">
        <f>IFERROR(IF(G112&gt;2.99,"Safe",IF(G112&gt;1.81,"Gray","Distress")),"-")</f>
        <v>Distress</v>
      </c>
      <c r="H113" s="33" t="str">
        <f>IFERROR(IF(H112&gt;2.99,"Safe",IF(H112&gt;1.81,"Gray","Distress")),"-")</f>
        <v>Distress</v>
      </c>
      <c r="I113" s="33" t="str">
        <f>IFERROR(IF(I112&gt;2.99,"Safe",IF(I112&gt;1.81,"Gray","Distress")),"-")</f>
        <v>Distress</v>
      </c>
      <c r="J113" s="33" t="str">
        <f>IFERROR(IF(J112&gt;2.99,"Safe",IF(J112&gt;1.81,"Gray","Distress")),"-")</f>
        <v>Distress</v>
      </c>
      <c r="K113" s="33" t="str">
        <f>IFERROR(IF(K112&gt;2.99,"Safe",IF(K112&gt;1.81,"Gray","Distress")),"-")</f>
        <v>Distress</v>
      </c>
      <c r="L113" s="33" t="str">
        <f>IFERROR(IF(L112&gt;2.99,"Safe",IF(L112&gt;1.81,"Gray","Distress")),"-")</f>
        <v>Distress</v>
      </c>
      <c r="M113" s="261"/>
      <c r="N113" s="251"/>
      <c r="O113" s="251"/>
      <c r="P113" s="251"/>
      <c r="Q113" s="251"/>
      <c r="R113" s="251"/>
      <c r="S113" s="251"/>
      <c r="T113" s="251"/>
      <c r="U113" s="251"/>
      <c r="V113" s="256"/>
      <c r="W113" s="463"/>
      <c r="X113" s="463"/>
      <c r="Y113" s="463"/>
    </row>
    <row r="114" ht="15" customHeight="1" s="74">
      <c r="A114" s="10" t="inlineStr">
        <is>
          <t>Z-Score (Mkt Equity X4)</t>
        </is>
      </c>
      <c r="B114" s="10">
        <f>IFERROR(1.2*B107+1.4*B108+3.3*B109+0.6*(Data!B57*Data!B28/Data!B40)+1*B111,"-")</f>
      </c>
      <c r="C114" s="10">
        <f>IFERROR(1.2*C107+1.4*C108+3.3*C109+0.6*(Data!C57*Data!C28/Data!C40)+1*C111,"-")</f>
        <v>3.199009887981748</v>
      </c>
      <c r="D114" s="10">
        <f>IFERROR(1.2*D107+1.4*D108+3.3*D109+0.6*(Data!D57*Data!D28/Data!D40)+1*D111,"-")</f>
        <v>3.4664409350330594</v>
      </c>
      <c r="E114" s="10">
        <f>IFERROR(1.2*E107+1.4*E108+3.3*E109+0.6*(Data!E57*Data!E28/Data!E40)+1*E111,"-")</f>
        <v>4.046656870817026</v>
      </c>
      <c r="F114" s="10">
        <f>IFERROR(1.2*F107+1.4*F108+3.3*F109+0.6*(Data!F57*Data!F28/Data!F40)+1*F111,"-")</f>
        <v>4.048366436278384</v>
      </c>
      <c r="G114" s="10">
        <f>IFERROR(1.2*G107+1.4*G108+3.3*G109+0.6*(Data!G57*Data!G28/Data!G40)+1*G111,"-")</f>
        <v>4.644428320939028</v>
      </c>
      <c r="H114" s="10">
        <f>IFERROR(1.2*H107+1.4*H108+3.3*H109+0.6*(Data!H57*Data!H28/Data!H40)+1*H111,"-")</f>
        <v>3.9742394863108643</v>
      </c>
      <c r="I114" s="10">
        <f>IFERROR(1.2*I107+1.4*I108+3.3*I109+0.6*(Data!I57*Data!I28/Data!I40)+1*I111,"-")</f>
        <v>3.901981187722101</v>
      </c>
      <c r="J114" s="10">
        <f>IFERROR(1.2*J107+1.4*J108+3.3*J109+0.6*(Data!J57*Data!J28/Data!J40)+1*J111,"-")</f>
        <v>3.176912123612788</v>
      </c>
      <c r="K114" s="10">
        <f>IFERROR(1.2*K107+1.4*K108+3.3*K109+0.6*(Data!K57*Data!K28/Data!K40)+1*K111,"-")</f>
        <v>4.77630137875495</v>
      </c>
      <c r="L114" s="10">
        <f>IFERROR(1.2*L107+1.4*L108+3.3*L109+0.6*(Data!L57*Data!L28/Data!L40)+1*L111,"-")</f>
        <v>4.483263136832922</v>
      </c>
      <c r="M114" s="261"/>
      <c r="N114" s="225"/>
      <c r="O114" s="225"/>
      <c r="P114" s="225"/>
      <c r="Q114" s="225"/>
      <c r="R114" s="225"/>
      <c r="S114" s="225"/>
      <c r="T114" s="225"/>
      <c r="U114" s="225"/>
      <c r="V114" s="225"/>
      <c r="W114" s="466"/>
      <c r="X114" s="466"/>
      <c r="Y114" s="466"/>
    </row>
    <row r="115" ht="15" customHeight="1" s="7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N115" s="2"/>
      <c r="O115" s="2"/>
      <c r="P115" s="2"/>
      <c r="Q115" s="2"/>
      <c r="R115" s="2"/>
      <c r="S115" s="2"/>
      <c r="T115" s="2"/>
      <c r="U115" s="2"/>
    </row>
    <row r="116" ht="19" customHeight="1" s="74">
      <c r="A116" s="226" t="inlineStr">
        <is>
          <t>DUPONT DECOMPOSITION (ROE = Margin × Turnover × Leverage)</t>
        </is>
      </c>
      <c r="W116" s="464"/>
      <c r="X116" s="464"/>
      <c r="Y116" s="464"/>
    </row>
    <row r="117" ht="28" customHeight="1" s="74">
      <c r="A117" s="14" t="inlineStr">
        <is>
          <t>Period</t>
        </is>
      </c>
      <c r="B117" s="14">
        <f>Data!B13</f>
        <v>2016.0</v>
      </c>
      <c r="C117" s="14">
        <f>Data!C13</f>
        <v>2017.0</v>
      </c>
      <c r="D117" s="14">
        <f>Data!D13</f>
        <v>2018.0</v>
      </c>
      <c r="E117" s="14">
        <f>Data!E13</f>
        <v>2019.0</v>
      </c>
      <c r="F117" s="14">
        <f>Data!F13</f>
        <v>2020.0</v>
      </c>
      <c r="G117" s="14">
        <f>Data!G13</f>
        <v>2021.0</v>
      </c>
      <c r="H117" s="14">
        <f>Data!H13</f>
        <v>2022.0</v>
      </c>
      <c r="I117" s="14">
        <f>Data!I13</f>
        <v>2023.0</v>
      </c>
      <c r="J117" s="14">
        <f>Data!J13</f>
        <v>2024.0</v>
      </c>
      <c r="K117" s="14">
        <f>Data!K13</f>
        <v>2025.0</v>
      </c>
      <c r="L117" s="14">
        <f>Data!L13</f>
        <v>2026.0</v>
      </c>
      <c r="N117" s="267" t="inlineStr">
        <is>
          <t xml:space="preserve">Year -2
Q1</t>
        </is>
      </c>
      <c r="O117" s="267" t="inlineStr">
        <is>
          <t xml:space="preserve">Year -2
Q2</t>
        </is>
      </c>
      <c r="P117" s="267" t="inlineStr">
        <is>
          <t xml:space="preserve">Year -2
Q3</t>
        </is>
      </c>
      <c r="Q117" s="267" t="inlineStr">
        <is>
          <t xml:space="preserve">Year -2
Q4</t>
        </is>
      </c>
      <c r="R117" s="267" t="inlineStr">
        <is>
          <t xml:space="preserve">Year -1
Q1</t>
        </is>
      </c>
      <c r="S117" s="267" t="inlineStr">
        <is>
          <t xml:space="preserve">Year -1
Q2</t>
        </is>
      </c>
      <c r="T117" s="267" t="inlineStr">
        <is>
          <t xml:space="preserve">Year -1
Q3</t>
        </is>
      </c>
      <c r="U117" s="267" t="inlineStr">
        <is>
          <t xml:space="preserve">Year -1
Q4</t>
        </is>
      </c>
      <c r="V117" s="267" t="inlineStr">
        <is>
          <t xml:space="preserve">Current Year
Q1</t>
        </is>
      </c>
      <c r="W117" s="267" t="inlineStr">
        <is>
          <t xml:space="preserve">Current Year
Q2</t>
        </is>
      </c>
      <c r="X117" s="267" t="inlineStr">
        <is>
          <t xml:space="preserve">Current Year
Q3</t>
        </is>
      </c>
      <c r="Y117" s="267" t="inlineStr">
        <is>
          <t xml:space="preserve">Current Year
Q4</t>
        </is>
      </c>
    </row>
    <row r="118" ht="15" customHeight="1" s="74">
      <c r="A118" s="17" t="inlineStr">
        <is>
          <t>Net Profit Margin (NI/Rev)</t>
        </is>
      </c>
      <c r="B118" s="81">
        <f>IFERROR(IF(OR(NOT(ISNUMBER(Data!B26)),NOT(ISNUMBER(Data!B14))),"-",Data!B26/Data!B14),"-")</f>
        <v>-0.007113313862937694</v>
      </c>
      <c r="C118" s="81">
        <f>IFERROR(IF(OR(NOT(ISNUMBER(Data!C26)),NOT(ISNUMBER(Data!C14))),"-",Data!C26/Data!C14),"-")</f>
        <v>0.021405188570426253</v>
      </c>
      <c r="D118" s="81">
        <f>IFERROR(IF(OR(NOT(ISNUMBER(Data!D26)),NOT(ISNUMBER(Data!D14))),"-",Data!D26/Data!D14),"-")</f>
        <v>0.012163917369560262</v>
      </c>
      <c r="E118" s="81">
        <f>IFERROR(IF(OR(NOT(ISNUMBER(Data!E26)),NOT(ISNUMBER(Data!E14))),"-",Data!E26/Data!E14),"-")</f>
        <v>0.08357175124228279</v>
      </c>
      <c r="F118" s="81">
        <f>IFERROR(IF(OR(NOT(ISNUMBER(Data!F26)),NOT(ISNUMBER(Data!F14))),"-",Data!F26/Data!F14),"-")</f>
        <v>0.007369282957071003</v>
      </c>
      <c r="G118" s="81">
        <f>IFERROR(IF(OR(NOT(ISNUMBER(Data!G26)),NOT(ISNUMBER(Data!G14))),"-",Data!G26/Data!G14),"-")</f>
        <v>0.19160549595332205</v>
      </c>
      <c r="H118" s="81">
        <f>IFERROR(IF(OR(NOT(ISNUMBER(Data!H26)),NOT(ISNUMBER(Data!H14))),"-",Data!H26/Data!H14),"-")</f>
        <v>0.054507020987467916</v>
      </c>
      <c r="I118" s="81">
        <f>IFERROR(IF(OR(NOT(ISNUMBER(Data!I26)),NOT(ISNUMBER(Data!I14))),"-",Data!I26/Data!I14),"-")</f>
        <v>0.006634345496300076</v>
      </c>
      <c r="J118" s="81">
        <f>IFERROR(IF(OR(NOT(ISNUMBER(Data!J26)),NOT(ISNUMBER(Data!J14))),"-",Data!J26/Data!J14),"-")</f>
        <v>0.11865622400091803</v>
      </c>
      <c r="K118" s="81">
        <f>IFERROR(IF(OR(NOT(ISNUMBER(Data!K26)),NOT(ISNUMBER(Data!K14))),"-",Data!K26/Data!K14),"-")</f>
        <v>0.16353080881382767</v>
      </c>
      <c r="L118" s="81">
        <f>IFERROR(IF(OR(NOT(ISNUMBER(Data!L26)),NOT(ISNUMBER(Data!L14))),"-",Data!L26/Data!L14),"-")</f>
        <v>0.179578567128236</v>
      </c>
      <c r="M118" s="261"/>
      <c r="N118" s="249"/>
      <c r="O118" s="249"/>
      <c r="P118" s="249"/>
      <c r="Q118" s="249">
        <f>IFERROR(IF(OR(NOT(ISNUMBER(Data!N26)),NOT(ISNUMBER(Data!O26)),NOT(ISNUMBER(Data!P26)),NOT(ISNUMBER(Data!Q26)),NOT(ISNUMBER(Data!N14)),NOT(ISNUMBER(Data!O14)),NOT(ISNUMBER(Data!P14)),NOT(ISNUMBER(Data!Q14))),"-",(Data!N26+Data!O26+Data!P26+Data!Q26)/(Data!N14+Data!O14+Data!P14+Data!Q14)),"-")</f>
        <v>0.16353080881382767</v>
      </c>
      <c r="R118" s="249">
        <f>IFERROR(IF(OR(NOT(ISNUMBER(Data!O26)),NOT(ISNUMBER(Data!P26)),NOT(ISNUMBER(Data!Q26)),NOT(ISNUMBER(Data!R26)),NOT(ISNUMBER(Data!O14)),NOT(ISNUMBER(Data!P14)),NOT(ISNUMBER(Data!Q14)),NOT(ISNUMBER(Data!R14))),"-",(Data!O26+Data!P26+Data!Q26+Data!R26)/(Data!O14+Data!P14+Data!Q14+Data!R14)),"-")</f>
        <v>0.16078878494985877</v>
      </c>
      <c r="S118" s="249">
        <f>IFERROR(IF(OR(NOT(ISNUMBER(Data!P26)),NOT(ISNUMBER(Data!Q26)),NOT(ISNUMBER(Data!R26)),NOT(ISNUMBER(Data!S26)),NOT(ISNUMBER(Data!P14)),NOT(ISNUMBER(Data!Q14)),NOT(ISNUMBER(Data!R14)),NOT(ISNUMBER(Data!S14))),"-",(Data!P26+Data!Q26+Data!R26+Data!S26)/(Data!P14+Data!Q14+Data!R14+Data!S14)),"-")</f>
        <v>0.1686750037972761</v>
      </c>
      <c r="T118" s="249">
        <f>IFERROR(IF(OR(NOT(ISNUMBER(Data!Q26)),NOT(ISNUMBER(Data!R26)),NOT(ISNUMBER(Data!S26)),NOT(ISNUMBER(Data!T26)),NOT(ISNUMBER(Data!Q14)),NOT(ISNUMBER(Data!R14)),NOT(ISNUMBER(Data!S14)),NOT(ISNUMBER(Data!T14))),"-",(Data!Q26+Data!R26+Data!S26+Data!T26)/(Data!Q14+Data!R14+Data!S14+Data!T14)),"-")</f>
        <v>0.17913039164620384</v>
      </c>
      <c r="U118" s="249">
        <f>IFERROR(IF(OR(NOT(ISNUMBER(Data!R26)),NOT(ISNUMBER(Data!S26)),NOT(ISNUMBER(Data!T26)),NOT(ISNUMBER(Data!U26)),NOT(ISNUMBER(Data!R14)),NOT(ISNUMBER(Data!S14)),NOT(ISNUMBER(Data!T14)),NOT(ISNUMBER(Data!U14))),"-",(Data!R26+Data!S26+Data!T26+Data!U26)/(Data!R14+Data!S14+Data!T14+Data!U14)),"-")</f>
        <v>0.179578567128236</v>
      </c>
      <c r="V118" s="256">
        <f>IFERROR(IF(OR(NOT(ISNUMBER(Data!S26)),NOT(ISNUMBER(Data!T26)),NOT(ISNUMBER(Data!U26)),NOT(ISNUMBER(Data!V26)),NOT(ISNUMBER(Data!S14)),NOT(ISNUMBER(Data!T14)),NOT(ISNUMBER(Data!U14)),NOT(ISNUMBER(Data!V14))),"-",(Data!S26+Data!T26+Data!U26+Data!V26)/(Data!S14+Data!T14+Data!U14+Data!V14)),"-")</f>
        <v>0.1873263442994233</v>
      </c>
      <c r="W118" s="463">
        <f>IFERROR(IF(OR(NOT(ISNUMBER(Data!T26)),NOT(ISNUMBER(Data!U26)),NOT(ISNUMBER(Data!V26)),NOT(ISNUMBER(Data!W26)),NOT(ISNUMBER(Data!T14)),NOT(ISNUMBER(Data!U14)),NOT(ISNUMBER(Data!V14)),NOT(ISNUMBER(Data!W14))),"-",(Data!T26+Data!U26+Data!V26+Data!W26)/(Data!T14+Data!U14+Data!V14+Data!W14)),"-")</f>
      </c>
      <c r="X118" s="463">
        <f>IFERROR(IF(OR(NOT(ISNUMBER(Data!U26)),NOT(ISNUMBER(Data!V26)),NOT(ISNUMBER(Data!W26)),NOT(ISNUMBER(Data!X26)),NOT(ISNUMBER(Data!U14)),NOT(ISNUMBER(Data!V14)),NOT(ISNUMBER(Data!W14)),NOT(ISNUMBER(Data!X14))),"-",(Data!U26+Data!V26+Data!W26+Data!X26)/(Data!U14+Data!V14+Data!W14+Data!X14)),"-")</f>
      </c>
      <c r="Y118" s="463">
        <f>IFERROR(IF(OR(NOT(ISNUMBER(Data!V26)),NOT(ISNUMBER(Data!W26)),NOT(ISNUMBER(Data!X26)),NOT(ISNUMBER(Data!Y26)),NOT(ISNUMBER(Data!V14)),NOT(ISNUMBER(Data!W14)),NOT(ISNUMBER(Data!X14)),NOT(ISNUMBER(Data!Y14))),"-",(Data!V26+Data!W26+Data!X26+Data!Y26)/(Data!V14+Data!W14+Data!X14+Data!Y14)),"-")</f>
      </c>
    </row>
    <row r="119" ht="15" customHeight="1" s="74">
      <c r="A119" s="15" t="inlineStr">
        <is>
          <t>Asset Turnover (Rev/TA)</t>
        </is>
      </c>
      <c r="B119" s="83">
        <f>IFERROR(IF(OR(NOT(ISNUMBER(Data!B14)),NOT(ISNUMBER(Data!B39))),"-",Data!B14/(Data!B39)),"-")</f>
      </c>
      <c r="C119" s="83">
        <f>IFERROR(IF(OR(NOT(ISNUMBER(Data!C14)),NOT(ISNUMBER(Data!C39))),"-",Data!C14/(IF(OR(NOT(ISNUMBER(Data!B39)),Data!B39=0),Data!C39,(Data!C39+Data!B39)/2))),"-")</f>
        <v>0.4772260873704139</v>
      </c>
      <c r="D119" s="83">
        <f>IFERROR(IF(OR(NOT(ISNUMBER(Data!D14)),NOT(ISNUMBER(Data!D39))),"-",Data!D14/(IF(OR(NOT(ISNUMBER(Data!C39)),Data!C39=0),Data!D39,(Data!D39+Data!C39)/2))),"-")</f>
        <v>0.5430800193549766</v>
      </c>
      <c r="E119" s="83">
        <f>IFERROR(IF(OR(NOT(ISNUMBER(Data!E14)),NOT(ISNUMBER(Data!E39))),"-",Data!E14/(IF(OR(NOT(ISNUMBER(Data!D39)),Data!D39=0),Data!E39,(Data!E39+Data!D39)/2))),"-")</f>
        <v>0.5133457329401728</v>
      </c>
      <c r="F119" s="83">
        <f>IFERROR(IF(OR(NOT(ISNUMBER(Data!F14)),NOT(ISNUMBER(Data!F39))),"-",Data!F14/(IF(OR(NOT(ISNUMBER(Data!E39)),Data!E39=0),Data!F39,(Data!F39+Data!E39)/2))),"-")</f>
        <v>0.39826234815927697</v>
      </c>
      <c r="G119" s="83">
        <f>IFERROR(IF(OR(NOT(ISNUMBER(Data!G14)),NOT(ISNUMBER(Data!G39))),"-",Data!G14/(IF(OR(NOT(ISNUMBER(Data!F39)),Data!F39=0),Data!G39,(Data!G39+Data!F39)/2))),"-")</f>
        <v>0.3500374710731551</v>
      </c>
      <c r="H119" s="83">
        <f>IFERROR(IF(OR(NOT(ISNUMBER(Data!H14)),NOT(ISNUMBER(Data!H39))),"-",Data!H14/(IF(OR(NOT(ISNUMBER(Data!G39)),Data!G39=0),Data!H39,(Data!H39+Data!G39)/2))),"-")</f>
        <v>0.3280539904649867</v>
      </c>
      <c r="I119" s="83">
        <f>IFERROR(IF(OR(NOT(ISNUMBER(Data!I14)),NOT(ISNUMBER(Data!I39))),"-",Data!I14/(IF(OR(NOT(ISNUMBER(Data!H39)),Data!H39=0),Data!I39,(Data!I39+Data!H39)/2))),"-")</f>
        <v>0.32311989199105423</v>
      </c>
      <c r="J119" s="83">
        <f>IFERROR(IF(OR(NOT(ISNUMBER(Data!J14)),NOT(ISNUMBER(Data!J39))),"-",Data!J14/(IF(OR(NOT(ISNUMBER(Data!I39)),Data!I39=0),Data!J39,(Data!J39+Data!I39)/2))),"-")</f>
        <v>0.3508999758395748</v>
      </c>
      <c r="K119" s="83">
        <f>IFERROR(IF(OR(NOT(ISNUMBER(Data!K14)),NOT(ISNUMBER(Data!K39))),"-",Data!K14/(IF(OR(NOT(ISNUMBER(Data!J39)),Data!J39=0),Data!K39,(Data!K39+Data!J39)/2))),"-")</f>
        <v>0.37380826728351524</v>
      </c>
      <c r="L119" s="83">
        <f>IFERROR(IF(OR(NOT(ISNUMBER(Data!L14)),NOT(ISNUMBER(Data!L39))),"-",Data!L14/(IF(OR(NOT(ISNUMBER(Data!K39)),Data!K39=0),Data!L39,(Data!L39+Data!K39)/2))),"-")</f>
        <v>0.38586090422937</v>
      </c>
      <c r="M119" s="261"/>
      <c r="N119" s="245"/>
      <c r="O119" s="245"/>
      <c r="P119" s="245"/>
      <c r="Q119" s="245">
        <f>IFERROR(IF(OR(NOT(ISNUMBER(Data!N14)),NOT(ISNUMBER(Data!O14)),NOT(ISNUMBER(Data!P14)),NOT(ISNUMBER(Data!Q14)),NOT(ISNUMBER(Data!Q39))),"-",(Data!N14+Data!O14+Data!P14+Data!Q14)/Data!Q39),"-")</f>
        <v>0.36816998290066844</v>
      </c>
      <c r="R119" s="245">
        <f>IFERROR(IF(OR(NOT(ISNUMBER(Data!O14)),NOT(ISNUMBER(Data!P14)),NOT(ISNUMBER(Data!Q14)),NOT(ISNUMBER(Data!R14)),NOT(ISNUMBER(Data!R39)),NOT(ISNUMBER(Data!N39))),"-",(Data!O14+Data!P14+Data!Q14+Data!R14)/((Data!R39+Data!N39)/2)),"-")</f>
        <v>0.39623183941680784</v>
      </c>
      <c r="S119" s="245">
        <f>IFERROR(IF(OR(NOT(ISNUMBER(Data!P14)),NOT(ISNUMBER(Data!Q14)),NOT(ISNUMBER(Data!R14)),NOT(ISNUMBER(Data!S14)),NOT(ISNUMBER(Data!S39)),NOT(ISNUMBER(Data!O39))),"-",(Data!P14+Data!Q14+Data!R14+Data!S14)/((Data!S39+Data!O39)/2)),"-")</f>
        <v>0.41635178363451436</v>
      </c>
      <c r="T119" s="245">
        <f>IFERROR(IF(OR(NOT(ISNUMBER(Data!Q14)),NOT(ISNUMBER(Data!R14)),NOT(ISNUMBER(Data!S14)),NOT(ISNUMBER(Data!T14)),NOT(ISNUMBER(Data!T39)),NOT(ISNUMBER(Data!P39))),"-",(Data!Q14+Data!R14+Data!S14+Data!T14)/((Data!T39+Data!P39)/2)),"-")</f>
        <v>0.4322634944971293</v>
      </c>
      <c r="U119" s="245">
        <f>IFERROR(IF(OR(NOT(ISNUMBER(Data!R14)),NOT(ISNUMBER(Data!S14)),NOT(ISNUMBER(Data!T14)),NOT(ISNUMBER(Data!U14)),NOT(ISNUMBER(Data!U39)),NOT(ISNUMBER(Data!Q39))),"-",(Data!R14+Data!S14+Data!T14+Data!U14)/((Data!U39+Data!Q39)/2)),"-")</f>
        <v>0.38586090422937</v>
      </c>
      <c r="V119" s="258">
        <f>IFERROR(IF(OR(NOT(ISNUMBER(Data!S14)),NOT(ISNUMBER(Data!T14)),NOT(ISNUMBER(Data!U14)),NOT(ISNUMBER(Data!V14)),NOT(ISNUMBER(Data!V39)),NOT(ISNUMBER(Data!R39))),"-",(Data!S14+Data!T14+Data!U14+Data!V14)/((Data!V39+Data!R39)/2)),"-")</f>
        <v>0.417253641190511</v>
      </c>
      <c r="W119" s="463">
        <f>IFERROR(IF(OR(NOT(ISNUMBER(Data!T14)),NOT(ISNUMBER(Data!U14)),NOT(ISNUMBER(Data!V14)),NOT(ISNUMBER(Data!W14)),NOT(ISNUMBER(Data!W39)),NOT(ISNUMBER(Data!S39))),"-",(Data!T14+Data!U14+Data!V14+Data!W14)/((Data!W39+Data!S39)/2)),"-")</f>
      </c>
      <c r="X119" s="463">
        <f>IFERROR(IF(OR(NOT(ISNUMBER(Data!U14)),NOT(ISNUMBER(Data!V14)),NOT(ISNUMBER(Data!W14)),NOT(ISNUMBER(Data!X14)),NOT(ISNUMBER(Data!X39)),NOT(ISNUMBER(Data!T39))),"-",(Data!U14+Data!V14+Data!W14+Data!X14)/((Data!X39+Data!T39)/2)),"-")</f>
      </c>
      <c r="Y119" s="463">
        <f>IFERROR(IF(OR(NOT(ISNUMBER(Data!V14)),NOT(ISNUMBER(Data!W14)),NOT(ISNUMBER(Data!X14)),NOT(ISNUMBER(Data!Y14)),NOT(ISNUMBER(Data!Y39)),NOT(ISNUMBER(Data!U39))),"-",(Data!V14+Data!W14+Data!X14+Data!Y14)/((Data!Y39+Data!U39)/2)),"-")</f>
      </c>
    </row>
    <row r="120" ht="15" customHeight="1" s="74">
      <c r="A120" s="17" t="inlineStr">
        <is>
          <t>Equity Multiplier (TA/Eq)</t>
        </is>
      </c>
      <c r="B120" s="93">
        <f>IFERROR(IF(OR(NOT(ISNUMBER(Data!B39)),NOT(ISNUMBER(Data!B41))),"-",(Data!B39)/(Data!B41)),"-")</f>
      </c>
      <c r="C120" s="93">
        <f>IFERROR(IF(OR(NOT(ISNUMBER(Data!C39)),NOT(ISNUMBER(Data!C41))),"-",(IF(OR(NOT(ISNUMBER(Data!B39)),Data!B39=0),Data!C39,(Data!C39+Data!B39)/2))/(IF(OR(NOT(ISNUMBER(Data!B41)),Data!B41=0),Data!C41,(Data!C41+Data!B41)/2))),"-")</f>
        <v>2.8129134808968987</v>
      </c>
      <c r="D120" s="93">
        <f>IFERROR(IF(OR(NOT(ISNUMBER(Data!D39)),NOT(ISNUMBER(Data!D41))),"-",(IF(OR(NOT(ISNUMBER(Data!C39)),Data!C39=0),Data!D39,(Data!D39+Data!C39)/2))/(IF(OR(NOT(ISNUMBER(Data!C41)),Data!C41=0),Data!D41,(Data!D41+Data!C41)/2))),"-")</f>
        <v>2.2852499579154557</v>
      </c>
      <c r="E120" s="93">
        <f>IFERROR(IF(OR(NOT(ISNUMBER(Data!E39)),NOT(ISNUMBER(Data!E41))),"-",(IF(OR(NOT(ISNUMBER(Data!D39)),Data!D39=0),Data!E39,(Data!E39+Data!D39)/2))/(IF(OR(NOT(ISNUMBER(Data!D41)),Data!D41=0),Data!E41,(Data!E41+Data!D41)/2))),"-")</f>
        <v>2.0704107180524085</v>
      </c>
      <c r="F120" s="93">
        <f>IFERROR(IF(OR(NOT(ISNUMBER(Data!F39)),NOT(ISNUMBER(Data!F41))),"-",(IF(OR(NOT(ISNUMBER(Data!E39)),Data!E39=0),Data!F39,(Data!F39+Data!E39)/2))/(IF(OR(NOT(ISNUMBER(Data!E41)),Data!E41=0),Data!F41,(Data!F41+Data!E41)/2))),"-")</f>
        <v>1.734956556880178</v>
      </c>
      <c r="G120" s="93">
        <f>IFERROR(IF(OR(NOT(ISNUMBER(Data!G39)),NOT(ISNUMBER(Data!G41))),"-",(IF(OR(NOT(ISNUMBER(Data!F39)),Data!F39=0),Data!G39,(Data!G39+Data!F39)/2))/(IF(OR(NOT(ISNUMBER(Data!F41)),Data!F41=0),Data!G41,(Data!G41+Data!F41)/2))),"-")</f>
        <v>1.6109076918994931</v>
      </c>
      <c r="H120" s="93">
        <f>IFERROR(IF(OR(NOT(ISNUMBER(Data!H39)),NOT(ISNUMBER(Data!H41))),"-",(IF(OR(NOT(ISNUMBER(Data!G39)),Data!G39=0),Data!H39,(Data!H39+Data!G39)/2))/(IF(OR(NOT(ISNUMBER(Data!G41)),Data!G41=0),Data!H41,(Data!H41+Data!G41)/2))),"-")</f>
        <v>1.6211956958162692</v>
      </c>
      <c r="I120" s="93">
        <f>IFERROR(IF(OR(NOT(ISNUMBER(Data!I39)),NOT(ISNUMBER(Data!I41))),"-",(IF(OR(NOT(ISNUMBER(Data!H39)),Data!H39=0),Data!I39,(Data!I39+Data!H39)/2))/(IF(OR(NOT(ISNUMBER(Data!H41)),Data!H41=0),Data!I41,(Data!I41+Data!H41)/2))),"-")</f>
        <v>1.6658768993046613</v>
      </c>
      <c r="J120" s="93">
        <f>IFERROR(IF(OR(NOT(ISNUMBER(Data!J39)),NOT(ISNUMBER(Data!J41))),"-",(IF(OR(NOT(ISNUMBER(Data!I39)),Data!I39=0),Data!J39,(Data!J39+Data!I39)/2))/(IF(OR(NOT(ISNUMBER(Data!I41)),Data!I41=0),Data!J41,(Data!J41+Data!I41)/2))),"-")</f>
        <v>1.6835896784034574</v>
      </c>
      <c r="K120" s="93">
        <f>IFERROR(IF(OR(NOT(ISNUMBER(Data!K39)),NOT(ISNUMBER(Data!K41))),"-",(IF(OR(NOT(ISNUMBER(Data!J39)),Data!J39=0),Data!K39,(Data!K39+Data!J39)/2))/(IF(OR(NOT(ISNUMBER(Data!J41)),Data!J41=0),Data!K41,(Data!K41+Data!J41)/2))),"-")</f>
        <v>1.6781383722758838</v>
      </c>
      <c r="L120" s="93">
        <f>IFERROR(IF(OR(NOT(ISNUMBER(Data!L39)),NOT(ISNUMBER(Data!L41))),"-",(IF(OR(NOT(ISNUMBER(Data!K39)),Data!K39=0),Data!L39,(Data!L39+Data!K39)/2))/(IF(OR(NOT(ISNUMBER(Data!K41)),Data!K41=0),Data!L41,(Data!L41+Data!K41)/2))),"-")</f>
        <v>1.7889124381831027</v>
      </c>
      <c r="M120" s="261"/>
      <c r="N120" s="244">
        <f>IFERROR(IF(OR(NOT(ISNUMBER(Data!N39)),NOT(ISNUMBER(Data!N41))),"-",Data!N39/Data!N41),"-")</f>
        <v>1.6115141665130774</v>
      </c>
      <c r="O120" s="244">
        <f>IFERROR(IF(OR(NOT(ISNUMBER(Data!O39)),NOT(ISNUMBER(Data!O41))),"-",Data!O39/Data!O41),"-")</f>
        <v>1.5994308816129648</v>
      </c>
      <c r="P120" s="244">
        <f>IFERROR(IF(OR(NOT(ISNUMBER(Data!P39)),NOT(ISNUMBER(Data!P41))),"-",Data!P39/Data!P41),"-")</f>
        <v>1.5616403246475865</v>
      </c>
      <c r="Q120" s="244">
        <f>IFERROR(IF(OR(NOT(ISNUMBER(Data!Q39)),NOT(ISNUMBER(Data!Q41))),"-",Data!Q39/Data!Q41),"-")</f>
        <v>1.6825723767021399</v>
      </c>
      <c r="R120" s="244">
        <f>IFERROR(IF(OR(NOT(ISNUMBER(Data!R39)),NOT(ISNUMBER(Data!R41))),"-",Data!R39/Data!R41),"-")</f>
        <v>1.6254574226090397</v>
      </c>
      <c r="S120" s="244">
        <f>IFERROR(IF(OR(NOT(ISNUMBER(Data!S39)),NOT(ISNUMBER(Data!S41))),"-",Data!S39/Data!S41),"-")</f>
        <v>1.5910024784763892</v>
      </c>
      <c r="T120" s="244">
        <f>IFERROR(IF(OR(NOT(ISNUMBER(Data!T39)),NOT(ISNUMBER(Data!T41))),"-",Data!T39/Data!T41),"-")</f>
        <v>1.5851785208510354</v>
      </c>
      <c r="U120" s="244">
        <f>IFERROR(IF(OR(NOT(ISNUMBER(Data!U39)),NOT(ISNUMBER(Data!U41))),"-",Data!U39/Data!U41),"-")</f>
        <v>1.8989043319468397</v>
      </c>
      <c r="V120" s="256">
        <f>IFERROR(IF(OR(NOT(ISNUMBER(Data!V39)),NOT(ISNUMBER(Data!V41))),"-",Data!V39/Data!V41),"-")</f>
        <v>3.1161092449247847</v>
      </c>
      <c r="W120" s="463">
        <f>IFERROR(IF(OR(NOT(ISNUMBER(Data!W39)),NOT(ISNUMBER(Data!W41))),"-",Data!W39/Data!W41),"-")</f>
      </c>
      <c r="X120" s="463">
        <f>IFERROR(IF(OR(NOT(ISNUMBER(Data!X39)),NOT(ISNUMBER(Data!X41))),"-",Data!X39/Data!X41),"-")</f>
      </c>
      <c r="Y120" s="463">
        <f>IFERROR(IF(OR(NOT(ISNUMBER(Data!Y39)),NOT(ISNUMBER(Data!Y41))),"-",Data!Y39/Data!Y41),"-")</f>
      </c>
    </row>
    <row r="121" ht="15" customHeight="1" s="74">
      <c r="A121" s="31" t="inlineStr">
        <is>
          <t>DuPont ROE (check)</t>
        </is>
      </c>
      <c r="B121" s="84">
        <f>IFERROR(IF(OR(NOT(ISNUMBER(Metrics!B118)),NOT(ISNUMBER(Metrics!B119)),NOT(ISNUMBER(Metrics!B120))),"-",Metrics!B118*Metrics!B119*Metrics!B120),"-")</f>
      </c>
      <c r="C121" s="84">
        <f>IFERROR(IF(OR(NOT(ISNUMBER(Metrics!C118)),NOT(ISNUMBER(Metrics!C119)),NOT(ISNUMBER(Metrics!C120))),"-",Metrics!C118*Metrics!C119*Metrics!C120),"-")</f>
        <v>0.028734232979039584</v>
      </c>
      <c r="D121" s="84">
        <f>IFERROR(IF(OR(NOT(ISNUMBER(Metrics!D118)),NOT(ISNUMBER(Metrics!D119)),NOT(ISNUMBER(Metrics!D120))),"-",Metrics!D118*Metrics!D119*Metrics!D120),"-")</f>
        <v>0.015096316615037233</v>
      </c>
      <c r="E121" s="84">
        <f>IFERROR(IF(OR(NOT(ISNUMBER(Metrics!E118)),NOT(ISNUMBER(Metrics!E119)),NOT(ISNUMBER(Metrics!E120))),"-",Metrics!E118*Metrics!E119*Metrics!E120),"-")</f>
        <v>0.08882310821983448</v>
      </c>
      <c r="F121" s="84">
        <f>IFERROR(IF(OR(NOT(ISNUMBER(Metrics!F118)),NOT(ISNUMBER(Metrics!F119)),NOT(ISNUMBER(Metrics!F120))),"-",Metrics!F118*Metrics!F119*Metrics!F120),"-")</f>
        <v>0.005091937765205092</v>
      </c>
      <c r="G121" s="84">
        <f>IFERROR(IF(OR(NOT(ISNUMBER(Metrics!G118)),NOT(ISNUMBER(Metrics!G119)),NOT(ISNUMBER(Metrics!G120))),"-",Metrics!G118*Metrics!G119*Metrics!G120),"-")</f>
        <v>0.10804213430974556</v>
      </c>
      <c r="H121" s="84">
        <f>IFERROR(IF(OR(NOT(ISNUMBER(Metrics!H118)),NOT(ISNUMBER(Metrics!H119)),NOT(ISNUMBER(Metrics!H120))),"-",Metrics!H118*Metrics!H119*Metrics!H120),"-")</f>
        <v>0.028988998634867102</v>
      </c>
      <c r="I121" s="84">
        <f>IFERROR(IF(OR(NOT(ISNUMBER(Metrics!I118)),NOT(ISNUMBER(Metrics!I119)),NOT(ISNUMBER(Metrics!I120))),"-",Metrics!I118*Metrics!I119*Metrics!I120),"-")</f>
        <v>0.003571121984719718</v>
      </c>
      <c r="J121" s="84">
        <f>IFERROR(IF(OR(NOT(ISNUMBER(Metrics!J118)),NOT(ISNUMBER(Metrics!J119)),NOT(ISNUMBER(Metrics!J120))),"-",Metrics!J118*Metrics!J119*Metrics!J120),"-")</f>
        <v>0.07009872463031226</v>
      </c>
      <c r="K121" s="84">
        <f>IFERROR(IF(OR(NOT(ISNUMBER(Metrics!K118)),NOT(ISNUMBER(Metrics!K119)),NOT(ISNUMBER(Metrics!K120))),"-",Metrics!K118*Metrics!K119*Metrics!K120),"-")</f>
        <v>0.10258320297304231</v>
      </c>
      <c r="L121" s="84">
        <f>IFERROR(IF(OR(NOT(ISNUMBER(Metrics!L118)),NOT(ISNUMBER(Metrics!L119)),NOT(ISNUMBER(Metrics!L120))),"-",Metrics!L118*Metrics!L119*Metrics!L120),"-")</f>
        <v>0.12395794373103937</v>
      </c>
      <c r="M121" s="261"/>
      <c r="N121" s="250"/>
      <c r="O121" s="250"/>
      <c r="P121" s="250"/>
      <c r="Q121" s="250"/>
      <c r="R121" s="250"/>
      <c r="S121" s="250"/>
      <c r="T121" s="250"/>
      <c r="U121" s="250"/>
      <c r="V121" s="258"/>
      <c r="W121" s="463"/>
      <c r="X121" s="463"/>
      <c r="Y121" s="463"/>
    </row>
    <row r="122" ht="15" customHeight="1" s="74">
      <c r="A122" s="34" t="inlineStr">
        <is>
          <t>─ 5-Factor DuPont ─</t>
        </is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N122" s="8"/>
      <c r="O122" s="8"/>
      <c r="P122" s="8"/>
      <c r="Q122" s="8"/>
      <c r="R122" s="8"/>
      <c r="S122" s="8"/>
      <c r="T122" s="8"/>
      <c r="U122" s="8"/>
      <c r="W122" s="464"/>
      <c r="X122" s="464"/>
      <c r="Y122" s="464"/>
    </row>
    <row r="123" ht="15" customHeight="1" s="74">
      <c r="A123" s="15" t="inlineStr">
        <is>
          <t>Tax Burden (NI / PreTax)</t>
        </is>
      </c>
      <c r="B123" s="83">
        <f>IFERROR(IF(OR(NOT(ISNUMBER(Data!B26)),NOT(ISNUMBER(Data!B24))),"-",Data!B26/Data!B24),"-")</f>
        <v>-0.7378148384386815</v>
      </c>
      <c r="C123" s="83">
        <f>IFERROR(IF(OR(NOT(ISNUMBER(Data!C26)),NOT(ISNUMBER(Data!C24))),"-",Data!C26/Data!C24),"-")</f>
        <v>7.076862467005476</v>
      </c>
      <c r="D123" s="83">
        <f>IFERROR(IF(OR(NOT(ISNUMBER(Data!D26)),NOT(ISNUMBER(Data!D24))),"-",Data!D26/Data!D24),"-")</f>
        <v>0.6307419795356938</v>
      </c>
      <c r="E123" s="83">
        <f>IFERROR(IF(OR(NOT(ISNUMBER(Data!E26)),NOT(ISNUMBER(Data!E24))),"-",Data!E26/Data!E24),"-")</f>
        <v>1.1291963377416072</v>
      </c>
      <c r="F123" s="83">
        <f>IFERROR(IF(OR(NOT(ISNUMBER(Data!F26)),NOT(ISNUMBER(Data!F24))),"-",Data!F26/Data!F24),"-")</f>
        <v>0.17847025495750707</v>
      </c>
      <c r="G123" s="83">
        <f>IFERROR(IF(OR(NOT(ISNUMBER(Data!G26)),NOT(ISNUMBER(Data!G24))),"-",Data!G26/Data!G24),"-")</f>
        <v>1.590003904724717</v>
      </c>
      <c r="H123" s="83">
        <f>IFERROR(IF(OR(NOT(ISNUMBER(Data!H26)),NOT(ISNUMBER(Data!H24))),"-",Data!H26/Data!H24),"-")</f>
        <v>0.9425587467362925</v>
      </c>
      <c r="I123" s="83">
        <f>IFERROR(IF(OR(NOT(ISNUMBER(Data!I26)),NOT(ISNUMBER(Data!I24))),"-",Data!I26/Data!I24),"-")</f>
        <v>0.3151515151515151</v>
      </c>
      <c r="J123" s="83">
        <f>IFERROR(IF(OR(NOT(ISNUMBER(Data!J26)),NOT(ISNUMBER(Data!J24))),"-",Data!J26/Data!J24),"-")</f>
        <v>0.8355555555555556</v>
      </c>
      <c r="K123" s="83">
        <f>IFERROR(IF(OR(NOT(ISNUMBER(Data!K26)),NOT(ISNUMBER(Data!K24))),"-",Data!K26/Data!K24),"-")</f>
        <v>0.8331540736757193</v>
      </c>
      <c r="L123" s="83">
        <f>IFERROR(IF(OR(NOT(ISNUMBER(Data!L26)),NOT(ISNUMBER(Data!L24))),"-",Data!L26/Data!L24),"-")</f>
        <v>0.7832983193277311</v>
      </c>
      <c r="M123" s="261"/>
      <c r="N123" s="245"/>
      <c r="O123" s="245"/>
      <c r="P123" s="245"/>
      <c r="Q123" s="245">
        <f>IFERROR(IF(OR(NOT(ISNUMBER(Data!N26)),NOT(ISNUMBER(Data!O26)),NOT(ISNUMBER(Data!P26)),NOT(ISNUMBER(Data!Q26)),NOT(ISNUMBER(Data!N24)),NOT(ISNUMBER(Data!O24)),NOT(ISNUMBER(Data!P24)),NOT(ISNUMBER(Data!Q24))),"-",(Data!N26+Data!O26+Data!P26+Data!Q26)/(Data!N24+Data!O24+Data!P24+Data!Q24)),"-")</f>
        <v>0.8331540736757193</v>
      </c>
      <c r="R123" s="245">
        <f>IFERROR(IF(OR(NOT(ISNUMBER(Data!O26)),NOT(ISNUMBER(Data!P26)),NOT(ISNUMBER(Data!Q26)),NOT(ISNUMBER(Data!R26)),NOT(ISNUMBER(Data!O24)),NOT(ISNUMBER(Data!P24)),NOT(ISNUMBER(Data!Q24)),NOT(ISNUMBER(Data!R24))),"-",(Data!O26+Data!P26+Data!Q26+Data!R26)/(Data!O24+Data!P24+Data!Q24+Data!R24)),"-")</f>
        <v>0.8223989396951623</v>
      </c>
      <c r="S123" s="245">
        <f>IFERROR(IF(OR(NOT(ISNUMBER(Data!P26)),NOT(ISNUMBER(Data!Q26)),NOT(ISNUMBER(Data!R26)),NOT(ISNUMBER(Data!S26)),NOT(ISNUMBER(Data!P24)),NOT(ISNUMBER(Data!Q24)),NOT(ISNUMBER(Data!R24)),NOT(ISNUMBER(Data!S24))),"-",(Data!P26+Data!Q26+Data!R26+Data!S26)/(Data!P24+Data!Q24+Data!R24+Data!S24)),"-")</f>
        <v>0.8211732807493222</v>
      </c>
      <c r="T123" s="245">
        <f>IFERROR(IF(OR(NOT(ISNUMBER(Data!Q26)),NOT(ISNUMBER(Data!R26)),NOT(ISNUMBER(Data!S26)),NOT(ISNUMBER(Data!T26)),NOT(ISNUMBER(Data!Q24)),NOT(ISNUMBER(Data!R24)),NOT(ISNUMBER(Data!S24)),NOT(ISNUMBER(Data!T24))),"-",(Data!Q26+Data!R26+Data!S26+Data!T26)/(Data!Q24+Data!R24+Data!S24+Data!T24)),"-")</f>
        <v>0.8132882882882883</v>
      </c>
      <c r="U123" s="245">
        <f>IFERROR(IF(OR(NOT(ISNUMBER(Data!R26)),NOT(ISNUMBER(Data!S26)),NOT(ISNUMBER(Data!T26)),NOT(ISNUMBER(Data!U26)),NOT(ISNUMBER(Data!R24)),NOT(ISNUMBER(Data!S24)),NOT(ISNUMBER(Data!T24)),NOT(ISNUMBER(Data!U24))),"-",(Data!R26+Data!S26+Data!T26+Data!U26)/(Data!R24+Data!S24+Data!T24+Data!U24)),"-")</f>
        <v>0.7832983193277311</v>
      </c>
      <c r="V123" s="258">
        <f>IFERROR(IF(OR(NOT(ISNUMBER(Data!S26)),NOT(ISNUMBER(Data!T26)),NOT(ISNUMBER(Data!U26)),NOT(ISNUMBER(Data!V26)),NOT(ISNUMBER(Data!S24)),NOT(ISNUMBER(Data!T24)),NOT(ISNUMBER(Data!U24)),NOT(ISNUMBER(Data!V24))),"-",(Data!S26+Data!T26+Data!U26+Data!V26)/(Data!S24+Data!T24+Data!U24+Data!V24)),"-")</f>
        <v>0.7814356676731274</v>
      </c>
      <c r="W123" s="463">
        <f>IFERROR(IF(OR(NOT(ISNUMBER(Data!T26)),NOT(ISNUMBER(Data!U26)),NOT(ISNUMBER(Data!V26)),NOT(ISNUMBER(Data!W26)),NOT(ISNUMBER(Data!T24)),NOT(ISNUMBER(Data!U24)),NOT(ISNUMBER(Data!V24)),NOT(ISNUMBER(Data!W24))),"-",(Data!T26+Data!U26+Data!V26+Data!W26)/(Data!T24+Data!U24+Data!V24+Data!W24)),"-")</f>
      </c>
      <c r="X123" s="463">
        <f>IFERROR(IF(OR(NOT(ISNUMBER(Data!U26)),NOT(ISNUMBER(Data!V26)),NOT(ISNUMBER(Data!W26)),NOT(ISNUMBER(Data!X26)),NOT(ISNUMBER(Data!U24)),NOT(ISNUMBER(Data!V24)),NOT(ISNUMBER(Data!W24)),NOT(ISNUMBER(Data!X24))),"-",(Data!U26+Data!V26+Data!W26+Data!X26)/(Data!U24+Data!V24+Data!W24+Data!X24)),"-")</f>
      </c>
      <c r="Y123" s="463">
        <f>IFERROR(IF(OR(NOT(ISNUMBER(Data!V26)),NOT(ISNUMBER(Data!W26)),NOT(ISNUMBER(Data!X26)),NOT(ISNUMBER(Data!Y26)),NOT(ISNUMBER(Data!V24)),NOT(ISNUMBER(Data!W24)),NOT(ISNUMBER(Data!X24)),NOT(ISNUMBER(Data!Y24))),"-",(Data!V26+Data!W26+Data!X26+Data!Y26)/(Data!V24+Data!W24+Data!X24+Data!Y24)),"-")</f>
      </c>
    </row>
    <row r="124" ht="15" customHeight="1" s="74">
      <c r="A124" s="17" t="inlineStr">
        <is>
          <t>Interest Burden (PreTax / EBIT)</t>
        </is>
      </c>
      <c r="B124" s="93">
        <f>IFERROR(IF(OR(NOT(ISNUMBER(Data!B24)),NOT(ISNUMBER(Data!B22))),"-",Data!B24/Data!B22),"-")</f>
        <v>0.559322328863674</v>
      </c>
      <c r="C124" s="93">
        <f>IFERROR(IF(OR(NOT(ISNUMBER(Data!C24)),NOT(ISNUMBER(Data!C22))),"-",Data!C24/Data!C22),"-")</f>
        <v>0.3952014697639659</v>
      </c>
      <c r="D124" s="93">
        <f>IFERROR(IF(OR(NOT(ISNUMBER(Data!D24)),NOT(ISNUMBER(Data!D22))),"-",Data!D24/Data!D22),"-")</f>
        <v>0.8572325336771742</v>
      </c>
      <c r="E124" s="93">
        <f>IFERROR(IF(OR(NOT(ISNUMBER(Data!E24)),NOT(ISNUMBER(Data!E22))),"-",Data!E24/Data!E22),"-")</f>
        <v>1.8373831775700935</v>
      </c>
      <c r="F124" s="93">
        <f>IFERROR(IF(OR(NOT(ISNUMBER(Data!F24)),NOT(ISNUMBER(Data!F22))),"-",Data!F24/Data!F22),"-")</f>
        <v>2.377104377104377</v>
      </c>
      <c r="G124" s="93">
        <f>IFERROR(IF(OR(NOT(ISNUMBER(Data!G24)),NOT(ISNUMBER(Data!G22))),"-",Data!G24/Data!G22),"-")</f>
        <v>5.628571428571429</v>
      </c>
      <c r="H124" s="93">
        <f>IFERROR(IF(OR(NOT(ISNUMBER(Data!H24)),NOT(ISNUMBER(Data!H22))),"-",Data!H24/Data!H22),"-")</f>
        <v>2.795620437956204</v>
      </c>
      <c r="I124" s="93">
        <f>IFERROR(IF(OR(NOT(ISNUMBER(Data!I24)),NOT(ISNUMBER(Data!I22))),"-",Data!I24/Data!I22),"-")</f>
        <v>0.6407766990291263</v>
      </c>
      <c r="J124" s="93">
        <f>IFERROR(IF(OR(NOT(ISNUMBER(Data!J24)),NOT(ISNUMBER(Data!J22))),"-",Data!J24/Data!J22),"-")</f>
        <v>0.9878267810816205</v>
      </c>
      <c r="K124" s="93">
        <f>IFERROR(IF(OR(NOT(ISNUMBER(Data!K24)),NOT(ISNUMBER(Data!K22))),"-",Data!K24/Data!K22),"-")</f>
        <v>1.0323386537126995</v>
      </c>
      <c r="L124" s="93">
        <f>IFERROR(IF(OR(NOT(ISNUMBER(Data!L24)),NOT(ISNUMBER(Data!L22))),"-",Data!L24/Data!L22),"-")</f>
        <v>1.142719961589245</v>
      </c>
      <c r="M124" s="261"/>
      <c r="N124" s="244"/>
      <c r="O124" s="244"/>
      <c r="P124" s="244"/>
      <c r="Q124" s="244">
        <f>IFERROR(IF(OR(NOT(ISNUMBER(Data!N24)),NOT(ISNUMBER(Data!O24)),NOT(ISNUMBER(Data!P24)),NOT(ISNUMBER(Data!Q24)),NOT(ISNUMBER(Data!N22)),NOT(ISNUMBER(Data!O22)),NOT(ISNUMBER(Data!P22)),NOT(ISNUMBER(Data!Q22))),"-",(Data!N24+Data!O24+Data!P24+Data!Q24)/(Data!N22+Data!O22+Data!P22+Data!Q22)),"-")</f>
        <v>1.0323386537126995</v>
      </c>
      <c r="R124" s="244">
        <f>IFERROR(IF(OR(NOT(ISNUMBER(Data!O24)),NOT(ISNUMBER(Data!P24)),NOT(ISNUMBER(Data!Q24)),NOT(ISNUMBER(Data!R24)),NOT(ISNUMBER(Data!O22)),NOT(ISNUMBER(Data!P22)),NOT(ISNUMBER(Data!Q22)),NOT(ISNUMBER(Data!R22))),"-",(Data!O24+Data!P24+Data!Q24+Data!R24)/(Data!O22+Data!P22+Data!Q22+Data!R22)),"-")</f>
        <v>1.014385587523528</v>
      </c>
      <c r="S124" s="244">
        <f>IFERROR(IF(OR(NOT(ISNUMBER(Data!P24)),NOT(ISNUMBER(Data!Q24)),NOT(ISNUMBER(Data!R24)),NOT(ISNUMBER(Data!S24)),NOT(ISNUMBER(Data!P22)),NOT(ISNUMBER(Data!Q22)),NOT(ISNUMBER(Data!R22)),NOT(ISNUMBER(Data!S22))),"-",(Data!P24+Data!Q24+Data!R24+Data!S24)/(Data!P22+Data!Q22+Data!R22+Data!S22)),"-")</f>
        <v>1.0159008388631525</v>
      </c>
      <c r="T124" s="244">
        <f>IFERROR(IF(OR(NOT(ISNUMBER(Data!Q24)),NOT(ISNUMBER(Data!R24)),NOT(ISNUMBER(Data!S24)),NOT(ISNUMBER(Data!T24)),NOT(ISNUMBER(Data!Q22)),NOT(ISNUMBER(Data!R22)),NOT(ISNUMBER(Data!S22)),NOT(ISNUMBER(Data!T22))),"-",(Data!Q24+Data!R24+Data!S24+Data!T24)/(Data!Q22+Data!R22+Data!S22+Data!T22)),"-")</f>
        <v>1.0722047814537552</v>
      </c>
      <c r="U124" s="244">
        <f>IFERROR(IF(OR(NOT(ISNUMBER(Data!R24)),NOT(ISNUMBER(Data!S24)),NOT(ISNUMBER(Data!T24)),NOT(ISNUMBER(Data!U24)),NOT(ISNUMBER(Data!R22)),NOT(ISNUMBER(Data!S22)),NOT(ISNUMBER(Data!T22)),NOT(ISNUMBER(Data!U22))),"-",(Data!R24+Data!S24+Data!T24+Data!U24)/(Data!R22+Data!S22+Data!T22+Data!U22)),"-")</f>
        <v>1.142719961589245</v>
      </c>
      <c r="V124" s="256">
        <f>IFERROR(IF(OR(NOT(ISNUMBER(Data!S24)),NOT(ISNUMBER(Data!T24)),NOT(ISNUMBER(Data!U24)),NOT(ISNUMBER(Data!V24)),NOT(ISNUMBER(Data!S22)),NOT(ISNUMBER(Data!T22)),NOT(ISNUMBER(Data!U22)),NOT(ISNUMBER(Data!V22))),"-",(Data!S24+Data!T24+Data!U24+Data!V24)/(Data!S22+Data!T22+Data!U22+Data!V22)),"-")</f>
        <v>1.1752518315018314</v>
      </c>
      <c r="W124" s="463">
        <f>IFERROR(IF(OR(NOT(ISNUMBER(Data!T24)),NOT(ISNUMBER(Data!U24)),NOT(ISNUMBER(Data!V24)),NOT(ISNUMBER(Data!W24)),NOT(ISNUMBER(Data!T22)),NOT(ISNUMBER(Data!U22)),NOT(ISNUMBER(Data!V22)),NOT(ISNUMBER(Data!W22))),"-",(Data!T24+Data!U24+Data!V24+Data!W24)/(Data!T22+Data!U22+Data!V22+Data!W22)),"-")</f>
      </c>
      <c r="X124" s="463">
        <f>IFERROR(IF(OR(NOT(ISNUMBER(Data!U24)),NOT(ISNUMBER(Data!V24)),NOT(ISNUMBER(Data!W24)),NOT(ISNUMBER(Data!X24)),NOT(ISNUMBER(Data!U22)),NOT(ISNUMBER(Data!V22)),NOT(ISNUMBER(Data!W22)),NOT(ISNUMBER(Data!X22))),"-",(Data!U24+Data!V24+Data!W24+Data!X24)/(Data!U22+Data!V22+Data!W22+Data!X22)),"-")</f>
      </c>
      <c r="Y124" s="463">
        <f>IFERROR(IF(OR(NOT(ISNUMBER(Data!V24)),NOT(ISNUMBER(Data!W24)),NOT(ISNUMBER(Data!X24)),NOT(ISNUMBER(Data!Y24)),NOT(ISNUMBER(Data!V22)),NOT(ISNUMBER(Data!W22)),NOT(ISNUMBER(Data!X22)),NOT(ISNUMBER(Data!Y22))),"-",(Data!V24+Data!W24+Data!X24+Data!Y24)/(Data!V22+Data!W22+Data!X22+Data!Y22)),"-")</f>
      </c>
    </row>
    <row r="125" ht="15" customHeight="1" s="74">
      <c r="A125" s="15" t="inlineStr">
        <is>
          <t>EBIT Margin (EBIT / Rev)</t>
        </is>
      </c>
      <c r="B125" s="84">
        <f>IFERROR(IF(OR(NOT(ISNUMBER(Data!B22)),NOT(ISNUMBER(Data!B14))),"-",Data!B22/Data!B14),"-")</f>
        <v>0.017237029668755295</v>
      </c>
      <c r="C125" s="84">
        <f>IFERROR(IF(OR(NOT(ISNUMBER(Data!C22)),NOT(ISNUMBER(Data!C14))),"-",Data!C22/Data!C14),"-")</f>
        <v>0.007653494096270917</v>
      </c>
      <c r="D125" s="84">
        <f>IFERROR(IF(OR(NOT(ISNUMBER(Data!D22)),NOT(ISNUMBER(Data!D14))),"-",Data!D22/Data!D14),"-")</f>
        <v>0.02249692080505251</v>
      </c>
      <c r="E125" s="84">
        <f>IFERROR(IF(OR(NOT(ISNUMBER(Data!E22)),NOT(ISNUMBER(Data!E14))),"-",Data!E22/Data!E14),"-")</f>
        <v>0.040280078301460624</v>
      </c>
      <c r="F125" s="84">
        <f>IFERROR(IF(OR(NOT(ISNUMBER(Data!F22)),NOT(ISNUMBER(Data!F14))),"-",Data!F22/Data!F14),"-")</f>
        <v>0.017370452684524505</v>
      </c>
      <c r="G125" s="84">
        <f>IFERROR(IF(OR(NOT(ISNUMBER(Data!G22)),NOT(ISNUMBER(Data!G14))),"-",Data!G22/Data!G14),"-")</f>
        <v>0.021409749670619236</v>
      </c>
      <c r="H125" s="84">
        <f>IFERROR(IF(OR(NOT(ISNUMBER(Data!H22)),NOT(ISNUMBER(Data!H14))),"-",Data!H22/Data!H14),"-")</f>
        <v>0.020685489959232976</v>
      </c>
      <c r="I125" s="84">
        <f>IFERROR(IF(OR(NOT(ISNUMBER(Data!I22)),NOT(ISNUMBER(Data!I14))),"-",Data!I22/Data!I14),"-")</f>
        <v>0.03285276856340903</v>
      </c>
      <c r="J125" s="84">
        <f>IFERROR(IF(OR(NOT(ISNUMBER(Data!J22)),NOT(ISNUMBER(Data!J14))),"-",Data!J22/Data!J14),"-")</f>
        <v>0.14375878589666352</v>
      </c>
      <c r="K125" s="84">
        <f>IFERROR(IF(OR(NOT(ISNUMBER(Data!K22)),NOT(ISNUMBER(Data!K14))),"-",Data!K22/Data!K14),"-")</f>
        <v>0.19013062409288825</v>
      </c>
      <c r="L125" s="84">
        <f>IFERROR(IF(OR(NOT(ISNUMBER(Data!L22)),NOT(ISNUMBER(Data!L14))),"-",Data!L22/Data!L14),"-")</f>
        <v>0.20062612883804937</v>
      </c>
      <c r="M125" s="261"/>
      <c r="N125" s="250"/>
      <c r="O125" s="250"/>
      <c r="P125" s="250"/>
      <c r="Q125" s="250">
        <f>IFERROR(IF(OR(NOT(ISNUMBER(Data!N22)),NOT(ISNUMBER(Data!O22)),NOT(ISNUMBER(Data!P22)),NOT(ISNUMBER(Data!Q22)),NOT(ISNUMBER(Data!N14)),NOT(ISNUMBER(Data!O14)),NOT(ISNUMBER(Data!P14)),NOT(ISNUMBER(Data!Q14))),"-",(Data!N22+Data!O22+Data!P22+Data!Q22)/(Data!N14+Data!O14+Data!P14+Data!Q14)),"-")</f>
        <v>0.19013062409288825</v>
      </c>
      <c r="R125" s="250">
        <f>IFERROR(IF(OR(NOT(ISNUMBER(Data!O22)),NOT(ISNUMBER(Data!P22)),NOT(ISNUMBER(Data!Q22)),NOT(ISNUMBER(Data!R22)),NOT(ISNUMBER(Data!O14)),NOT(ISNUMBER(Data!P14)),NOT(ISNUMBER(Data!Q14)),NOT(ISNUMBER(Data!R14))),"-",(Data!O22+Data!P22+Data!Q22+Data!R22)/(Data!O14+Data!P14+Data!Q14+Data!R14)),"-")</f>
        <v>0.1927392397191055</v>
      </c>
      <c r="S125" s="250">
        <f>IFERROR(IF(OR(NOT(ISNUMBER(Data!P22)),NOT(ISNUMBER(Data!Q22)),NOT(ISNUMBER(Data!R22)),NOT(ISNUMBER(Data!S22)),NOT(ISNUMBER(Data!P14)),NOT(ISNUMBER(Data!Q14)),NOT(ISNUMBER(Data!R14)),NOT(ISNUMBER(Data!S14))),"-",(Data!P22+Data!Q22+Data!R22+Data!S22)/(Data!P14+Data!Q14+Data!R14+Data!S14)),"-")</f>
        <v>0.2021922940610602</v>
      </c>
      <c r="T125" s="250">
        <f>IFERROR(IF(OR(NOT(ISNUMBER(Data!Q22)),NOT(ISNUMBER(Data!R22)),NOT(ISNUMBER(Data!S22)),NOT(ISNUMBER(Data!T22)),NOT(ISNUMBER(Data!Q14)),NOT(ISNUMBER(Data!R14)),NOT(ISNUMBER(Data!S14)),NOT(ISNUMBER(Data!T14))),"-",(Data!Q22+Data!R22+Data!S22+Data!T22)/(Data!Q14+Data!R14+Data!S14+Data!T14)),"-")</f>
        <v>0.2054220304090086</v>
      </c>
      <c r="U125" s="250">
        <f>IFERROR(IF(OR(NOT(ISNUMBER(Data!R22)),NOT(ISNUMBER(Data!S22)),NOT(ISNUMBER(Data!T22)),NOT(ISNUMBER(Data!U22)),NOT(ISNUMBER(Data!R14)),NOT(ISNUMBER(Data!S14)),NOT(ISNUMBER(Data!T14)),NOT(ISNUMBER(Data!U14))),"-",(Data!R22+Data!S22+Data!T22+Data!U22)/(Data!R14+Data!S14+Data!T14+Data!U14)),"-")</f>
        <v>0.20062612883804937</v>
      </c>
      <c r="V125" s="258">
        <f>IFERROR(IF(OR(NOT(ISNUMBER(Data!S22)),NOT(ISNUMBER(Data!T22)),NOT(ISNUMBER(Data!U22)),NOT(ISNUMBER(Data!V22)),NOT(ISNUMBER(Data!S14)),NOT(ISNUMBER(Data!T14)),NOT(ISNUMBER(Data!U14)),NOT(ISNUMBER(Data!V14))),"-",(Data!S22+Data!T22+Data!U22+Data!V22)/(Data!S14+Data!T14+Data!U14+Data!V14)),"-")</f>
        <v>0.20397394288916387</v>
      </c>
      <c r="W125" s="463">
        <f>IFERROR(IF(OR(NOT(ISNUMBER(Data!T22)),NOT(ISNUMBER(Data!U22)),NOT(ISNUMBER(Data!V22)),NOT(ISNUMBER(Data!W22)),NOT(ISNUMBER(Data!T14)),NOT(ISNUMBER(Data!U14)),NOT(ISNUMBER(Data!V14)),NOT(ISNUMBER(Data!W14))),"-",(Data!T22+Data!U22+Data!V22+Data!W22)/(Data!T14+Data!U14+Data!V14+Data!W14)),"-")</f>
      </c>
      <c r="X125" s="463">
        <f>IFERROR(IF(OR(NOT(ISNUMBER(Data!U22)),NOT(ISNUMBER(Data!V22)),NOT(ISNUMBER(Data!W22)),NOT(ISNUMBER(Data!X22)),NOT(ISNUMBER(Data!U14)),NOT(ISNUMBER(Data!V14)),NOT(ISNUMBER(Data!W14)),NOT(ISNUMBER(Data!X14))),"-",(Data!U22+Data!V22+Data!W22+Data!X22)/(Data!U14+Data!V14+Data!W14+Data!X14)),"-")</f>
      </c>
      <c r="Y125" s="463">
        <f>IFERROR(IF(OR(NOT(ISNUMBER(Data!V22)),NOT(ISNUMBER(Data!W22)),NOT(ISNUMBER(Data!X22)),NOT(ISNUMBER(Data!Y22)),NOT(ISNUMBER(Data!V14)),NOT(ISNUMBER(Data!W14)),NOT(ISNUMBER(Data!X14)),NOT(ISNUMBER(Data!Y14))),"-",(Data!V22+Data!W22+Data!X22+Data!Y22)/(Data!V14+Data!W14+Data!X14+Data!Y14)),"-")</f>
      </c>
    </row>
    <row r="126" ht="15" customHeight="1" s="74">
      <c r="A126" s="35" t="inlineStr">
        <is>
          <t>5-Factor DuPont ROE (check)</t>
        </is>
      </c>
      <c r="B126" s="81">
        <f>IFERROR(B123*B124*B125*B119*B120,"-")</f>
      </c>
      <c r="C126" s="81">
        <f>IFERROR(C123*C124*C125*C119*C120,"-")</f>
        <v>0.028734232979039584</v>
      </c>
      <c r="D126" s="81">
        <f>IFERROR(D123*D124*D125*D119*D120,"-")</f>
        <v>0.015096316615037235</v>
      </c>
      <c r="E126" s="81">
        <f>IFERROR(E123*E124*E125*E119*E120,"-")</f>
        <v>0.08882310821983448</v>
      </c>
      <c r="F126" s="81">
        <f>IFERROR(F123*F124*F125*F119*F120,"-")</f>
        <v>0.005091937765205091</v>
      </c>
      <c r="G126" s="81">
        <f>IFERROR(G123*G124*G125*G119*G120,"-")</f>
        <v>0.10804213430974557</v>
      </c>
      <c r="H126" s="81">
        <f>IFERROR(H123*H124*H125*H119*H120,"-")</f>
        <v>0.028988998634867095</v>
      </c>
      <c r="I126" s="81">
        <f>IFERROR(I123*I124*I125*I119*I120,"-")</f>
        <v>0.003571121984719718</v>
      </c>
      <c r="J126" s="81">
        <f>IFERROR(J123*J124*J125*J119*J120,"-")</f>
        <v>0.07009872463031229</v>
      </c>
      <c r="K126" s="81">
        <f>IFERROR(K123*K124*K125*K119*K120,"-")</f>
        <v>0.10258320297304231</v>
      </c>
      <c r="L126" s="81">
        <f>IFERROR(L123*L124*L125*L119*L120,"-")</f>
        <v>0.12395794373103937</v>
      </c>
      <c r="M126" s="261"/>
      <c r="N126" s="249"/>
      <c r="O126" s="249"/>
      <c r="P126" s="249"/>
      <c r="Q126" s="249"/>
      <c r="R126" s="249"/>
      <c r="S126" s="249"/>
      <c r="T126" s="249"/>
      <c r="U126" s="249"/>
      <c r="V126" s="256"/>
      <c r="W126" s="463"/>
      <c r="X126" s="463"/>
      <c r="Y126" s="463"/>
    </row>
    <row r="127" ht="15" customHeight="1" s="74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N127" s="10"/>
      <c r="O127" s="10"/>
      <c r="P127" s="10"/>
      <c r="Q127" s="10"/>
      <c r="R127" s="10"/>
      <c r="S127" s="10"/>
      <c r="T127" s="10"/>
      <c r="U127" s="10"/>
    </row>
    <row r="128" ht="19" customHeight="1" s="74">
      <c r="A128" s="226" t="inlineStr">
        <is>
          <t>QUARTERLY TREND ANALYSIS</t>
        </is>
      </c>
    </row>
    <row r="129" ht="28" customHeight="1" s="74">
      <c r="A129" s="240" t="inlineStr">
        <is>
          <t>Period</t>
        </is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N129" s="14" t="str">
        <f>Data!N13</f>
        <v>Year -2
Q1</v>
      </c>
      <c r="O129" s="14" t="str">
        <f>Data!O13</f>
        <v>Year -2
Q2</v>
      </c>
      <c r="P129" s="14" t="str">
        <f>Data!P13</f>
        <v>Year -2
Q3</v>
      </c>
      <c r="Q129" s="14" t="str">
        <f>Data!Q13</f>
        <v>Year -2
Q4</v>
      </c>
      <c r="R129" s="14" t="str">
        <f>Data!R13</f>
        <v>Year -1
Q1</v>
      </c>
      <c r="S129" s="14" t="str">
        <f>Data!S13</f>
        <v>Year -1
Q2</v>
      </c>
      <c r="T129" s="14" t="str">
        <f>Data!T13</f>
        <v>Year -1
Q3</v>
      </c>
      <c r="U129" s="14" t="str">
        <f>Data!U13</f>
        <v>Year -1
Q4</v>
      </c>
      <c r="V129" s="14" t="str">
        <f>Data!V13</f>
        <v>Current Year
Q1</v>
      </c>
      <c r="W129" s="14" t="str">
        <f>Data!W13</f>
        <v>Current Year
Q2</v>
      </c>
      <c r="X129" s="14" t="str">
        <f>Data!X13</f>
        <v>Current Year
Q3</v>
      </c>
      <c r="Y129" s="14" t="str">
        <f>Data!Y13</f>
        <v>Current Year
Q4</v>
      </c>
    </row>
    <row r="130" ht="15" customHeight="1" s="74">
      <c r="A130" s="259" t="inlineStr">
        <is>
          <t>Revenue QoQ</t>
        </is>
      </c>
      <c r="B130" s="312"/>
      <c r="C130" s="312"/>
      <c r="D130" s="312"/>
      <c r="E130" s="312"/>
      <c r="F130" s="312"/>
      <c r="G130" s="312"/>
      <c r="H130" s="312"/>
      <c r="I130" s="312"/>
      <c r="J130" s="312"/>
      <c r="K130" s="312"/>
      <c r="L130" s="312"/>
      <c r="M130" s="261"/>
      <c r="N130" s="275"/>
      <c r="O130" s="275">
        <f>IFERROR(IF(OR(NOT(ISNUMBER(Data!O14)),NOT(ISNUMBER(Data!N14))),"-",(Data!O14-Data!N14)/ABS(Data!N14)),"-")</f>
        <v>0.02102266506076864</v>
      </c>
      <c r="P130" s="275">
        <f>IFERROR(IF(OR(NOT(ISNUMBER(Data!P14)),NOT(ISNUMBER(Data!O14))),"-",(Data!P14-Data!O14)/ABS(Data!O14)),"-")</f>
        <v>0.012761394101876676</v>
      </c>
      <c r="Q130" s="275">
        <f>IFERROR(IF(OR(NOT(ISNUMBER(Data!Q14)),NOT(ISNUMBER(Data!P14))),"-",(Data!Q14-Data!P14)/ABS(Data!P14)),"-")</f>
        <v>0.058132147395171536</v>
      </c>
      <c r="R130" s="275">
        <f>IFERROR(IF(OR(NOT(ISNUMBER(Data!R14)),NOT(ISNUMBER(Data!Q14))),"-",(Data!R14-Data!Q14)/ABS(Data!Q14)),"-")</f>
        <v>-0.01641148804162914</v>
      </c>
      <c r="S130" s="275">
        <f>IFERROR(IF(OR(NOT(ISNUMBER(Data!S14)),NOT(ISNUMBER(Data!R14))),"-",(Data!S14-Data!R14)/ABS(Data!R14)),"-")</f>
        <v>0.041408078136127784</v>
      </c>
      <c r="T130" s="275">
        <f>IFERROR(IF(OR(NOT(ISNUMBER(Data!T14)),NOT(ISNUMBER(Data!S14))),"-",(Data!T14-Data!S14)/ABS(Data!S14)),"-")</f>
        <v>0.002246971473231731</v>
      </c>
      <c r="U130" s="275">
        <f>IFERROR(IF(OR(NOT(ISNUMBER(Data!U14)),NOT(ISNUMBER(Data!T14))),"-",(Data!U14-Data!T14)/ABS(Data!T14)),"-")</f>
        <v>0.09182181499171459</v>
      </c>
      <c r="V130" s="274">
        <f>IFERROR(IF(OR(NOT(ISNUMBER(Data!V14)),NOT(ISNUMBER(Data!U14))),"-",(Data!V14-Data!U14)/ABS(Data!U14)),"-")</f>
        <v>-0.006070886527988572</v>
      </c>
      <c r="W130" s="470">
        <f>IFERROR(IF(OR(NOT(ISNUMBER(Data!W14)),NOT(ISNUMBER(Data!V14))),"-",(Data!W14-Data!V14)/ABS(Data!V14)),"-")</f>
      </c>
      <c r="X130" s="470">
        <f>IFERROR(IF(OR(NOT(ISNUMBER(Data!X14)),NOT(ISNUMBER(Data!W14))),"-",(Data!X14-Data!W14)/ABS(Data!W14)),"-")</f>
      </c>
      <c r="Y130" s="470">
        <f>IFERROR(IF(OR(NOT(ISNUMBER(Data!Y14)),NOT(ISNUMBER(Data!X14))),"-",(Data!Y14-Data!X14)/ABS(Data!X14)),"-")</f>
      </c>
    </row>
    <row r="131" ht="15" customHeight="1" s="74">
      <c r="A131" s="263" t="inlineStr">
        <is>
          <t>Net Income QoQ</t>
        </is>
      </c>
      <c r="B131" s="312"/>
      <c r="C131" s="312"/>
      <c r="D131" s="312"/>
      <c r="E131" s="312"/>
      <c r="F131" s="312"/>
      <c r="G131" s="312"/>
      <c r="H131" s="312"/>
      <c r="I131" s="312"/>
      <c r="J131" s="312"/>
      <c r="K131" s="312"/>
      <c r="L131" s="312"/>
      <c r="M131" s="261"/>
      <c r="N131" s="277"/>
      <c r="O131" s="277">
        <f>IFERROR(IF(OR(NOT(ISNUMBER(Data!O26)),NOT(ISNUMBER(Data!N26))),"-",(Data!O26-Data!N26)/ABS(Data!N26)),"-")</f>
        <v>-0.06784083496412263</v>
      </c>
      <c r="P131" s="277">
        <f>IFERROR(IF(OR(NOT(ISNUMBER(Data!P26)),NOT(ISNUMBER(Data!O26))),"-",(Data!P26-Data!O26)/ABS(Data!O26)),"-")</f>
        <v>0.06857942617214835</v>
      </c>
      <c r="Q131" s="277">
        <f>IFERROR(IF(OR(NOT(ISNUMBER(Data!Q26)),NOT(ISNUMBER(Data!P26))),"-",(Data!Q26-Data!P26)/ABS(Data!P26)),"-")</f>
        <v>0.11853307138179436</v>
      </c>
      <c r="R131" s="277">
        <f>IFERROR(IF(OR(NOT(ISNUMBER(Data!R26)),NOT(ISNUMBER(Data!Q26))),"-",(Data!R26-Data!Q26)/ABS(Data!Q26)),"-")</f>
        <v>-0.0977751756440281</v>
      </c>
      <c r="S131" s="277">
        <f>IFERROR(IF(OR(NOT(ISNUMBER(Data!S26)),NOT(ISNUMBER(Data!R26))),"-",(Data!S26-Data!R26)/ABS(Data!R26)),"-")</f>
        <v>0.2245295262816353</v>
      </c>
      <c r="T131" s="277">
        <f>IFERROR(IF(OR(NOT(ISNUMBER(Data!T26)),NOT(ISNUMBER(Data!S26))),"-",(Data!T26-Data!S26)/ABS(Data!S26)),"-")</f>
        <v>0.10545839957604664</v>
      </c>
      <c r="U131" s="277">
        <f>IFERROR(IF(OR(NOT(ISNUMBER(Data!U26)),NOT(ISNUMBER(Data!T26))),"-",(Data!U26-Data!T26)/ABS(Data!T26)),"-")</f>
        <v>-0.0685522531160115</v>
      </c>
      <c r="V131" s="276">
        <f>IFERROR(IF(OR(NOT(ISNUMBER(Data!V26)),NOT(ISNUMBER(Data!U26))),"-",(Data!V26-Data!U26)/ABS(Data!U26)),"-")</f>
        <v>0.08440555841482245</v>
      </c>
      <c r="W131" s="470">
        <f>IFERROR(IF(OR(NOT(ISNUMBER(Data!W26)),NOT(ISNUMBER(Data!V26))),"-",(Data!W26-Data!V26)/ABS(Data!V26)),"-")</f>
      </c>
      <c r="X131" s="470">
        <f>IFERROR(IF(OR(NOT(ISNUMBER(Data!X26)),NOT(ISNUMBER(Data!W26))),"-",(Data!X26-Data!W26)/ABS(Data!W26)),"-")</f>
      </c>
      <c r="Y131" s="470">
        <f>IFERROR(IF(OR(NOT(ISNUMBER(Data!Y26)),NOT(ISNUMBER(Data!X26))),"-",(Data!Y26-Data!X26)/ABS(Data!X26)),"-")</f>
      </c>
    </row>
    <row r="132" ht="15" customHeight="1" s="74">
      <c r="A132" s="259" t="inlineStr">
        <is>
          <t>EPS QoQ</t>
        </is>
      </c>
      <c r="B132" s="312"/>
      <c r="C132" s="312"/>
      <c r="D132" s="312"/>
      <c r="E132" s="312"/>
      <c r="F132" s="312"/>
      <c r="G132" s="312"/>
      <c r="H132" s="312"/>
      <c r="I132" s="312"/>
      <c r="J132" s="312"/>
      <c r="K132" s="312"/>
      <c r="L132" s="312"/>
      <c r="M132" s="261"/>
      <c r="N132" s="274"/>
      <c r="O132" s="274">
        <f>IFERROR(IF(OR(NOT(ISNUMBER(Data!O27)),NOT(ISNUMBER(Data!N27))),"-",(Data!O27-Data!N27)/ABS(Data!N27)),"-")</f>
        <v>-0.057692307692307744</v>
      </c>
      <c r="P132" s="274">
        <f>IFERROR(IF(OR(NOT(ISNUMBER(Data!P27)),NOT(ISNUMBER(Data!O27))),"-",(Data!P27-Data!O27)/ABS(Data!O27)),"-")</f>
        <v>0.07482993197278918</v>
      </c>
      <c r="Q132" s="274">
        <f>IFERROR(IF(OR(NOT(ISNUMBER(Data!Q27)),NOT(ISNUMBER(Data!P27))),"-",(Data!Q27-Data!P27)/ABS(Data!P27)),"-")</f>
      </c>
      <c r="R132" s="274">
        <f>IFERROR(IF(OR(NOT(ISNUMBER(Data!R27)),NOT(ISNUMBER(Data!Q27))),"-",(Data!R27-Data!Q27)/ABS(Data!Q27)),"-")</f>
      </c>
      <c r="S132" s="274">
        <f>IFERROR(IF(OR(NOT(ISNUMBER(Data!S27)),NOT(ISNUMBER(Data!R27))),"-",(Data!S27-Data!R27)/ABS(Data!R27)),"-")</f>
        <v>0.2327044025157232</v>
      </c>
      <c r="T132" s="274">
        <f>IFERROR(IF(OR(NOT(ISNUMBER(Data!T27)),NOT(ISNUMBER(Data!S27))),"-",(Data!T27-Data!S27)/ABS(Data!S27)),"-")</f>
        <v>0.1173469387755102</v>
      </c>
      <c r="U132" s="274">
        <f>IFERROR(IF(OR(NOT(ISNUMBER(Data!U27)),NOT(ISNUMBER(Data!T27))),"-",(Data!U27-Data!T27)/ABS(Data!T27)),"-")</f>
      </c>
      <c r="V132" s="274">
        <f>IFERROR(IF(OR(NOT(ISNUMBER(Data!V27)),NOT(ISNUMBER(Data!U27))),"-",(Data!V27-Data!U27)/ABS(Data!U27)),"-")</f>
      </c>
      <c r="W132" s="470">
        <f>IFERROR(IF(OR(NOT(ISNUMBER(Data!W27)),NOT(ISNUMBER(Data!V27))),"-",(Data!W27-Data!V27)/ABS(Data!V27)),"-")</f>
      </c>
      <c r="X132" s="470">
        <f>IFERROR(IF(OR(NOT(ISNUMBER(Data!X27)),NOT(ISNUMBER(Data!W27))),"-",(Data!X27-Data!W27)/ABS(Data!W27)),"-")</f>
      </c>
      <c r="Y132" s="470">
        <f>IFERROR(IF(OR(NOT(ISNUMBER(Data!Y27)),NOT(ISNUMBER(Data!X27))),"-",(Data!Y27-Data!X27)/ABS(Data!X27)),"-")</f>
      </c>
    </row>
    <row r="133" ht="15" customHeight="1" s="74">
      <c r="A133" s="263" t="inlineStr">
        <is>
          <t>EBITDA QoQ</t>
        </is>
      </c>
      <c r="B133" s="312"/>
      <c r="C133" s="312"/>
      <c r="D133" s="312"/>
      <c r="E133" s="312"/>
      <c r="F133" s="312"/>
      <c r="G133" s="312"/>
      <c r="H133" s="312"/>
      <c r="I133" s="312"/>
      <c r="J133" s="312"/>
      <c r="K133" s="312"/>
      <c r="L133" s="312"/>
      <c r="M133" s="261"/>
      <c r="N133" s="277"/>
      <c r="O133" s="277">
        <f>IFERROR(IF(OR(NOT(ISNUMBER(Data!O20)),NOT(ISNUMBER(Data!N20))),"-",(Data!O20-Data!N20)/ABS(Data!N20)),"-")</f>
        <v>0.03941267387944358</v>
      </c>
      <c r="P133" s="277">
        <f>IFERROR(IF(OR(NOT(ISNUMBER(Data!P20)),NOT(ISNUMBER(Data!O20))),"-",(Data!P20-Data!O20)/ABS(Data!O20)),"-")</f>
        <v>0.006319702602230483</v>
      </c>
      <c r="Q133" s="277">
        <f>IFERROR(IF(OR(NOT(ISNUMBER(Data!Q20)),NOT(ISNUMBER(Data!P20))),"-",(Data!Q20-Data!P20)/ABS(Data!P20)),"-")</f>
        <v>-0.003694126339120798</v>
      </c>
      <c r="R133" s="277">
        <f>IFERROR(IF(OR(NOT(ISNUMBER(Data!R20)),NOT(ISNUMBER(Data!Q20))),"-",(Data!R20-Data!Q20)/ABS(Data!Q20)),"-")</f>
        <v>0.03262884686688913</v>
      </c>
      <c r="S133" s="277">
        <f>IFERROR(IF(OR(NOT(ISNUMBER(Data!S20)),NOT(ISNUMBER(Data!R20))),"-",(Data!S20-Data!R20)/ABS(Data!R20)),"-")</f>
        <v>0.13070017953321364</v>
      </c>
      <c r="T133" s="277">
        <f>IFERROR(IF(OR(NOT(ISNUMBER(Data!T20)),NOT(ISNUMBER(Data!S20))),"-",(Data!T20-Data!S20)/ABS(Data!S20)),"-")</f>
        <v>-0.03493172435693871</v>
      </c>
      <c r="U133" s="277">
        <f>IFERROR(IF(OR(NOT(ISNUMBER(Data!U20)),NOT(ISNUMBER(Data!T20))),"-",(Data!U20-Data!T20)/ABS(Data!T20)),"-")</f>
        <v>-0.016452780519907863</v>
      </c>
      <c r="V133" s="276">
        <f>IFERROR(IF(OR(NOT(ISNUMBER(Data!V20)),NOT(ISNUMBER(Data!U20))),"-",(Data!V20-Data!U20)/ABS(Data!U20)),"-")</f>
        <v>0.11475409836065574</v>
      </c>
      <c r="W133" s="470">
        <f>IFERROR(IF(OR(NOT(ISNUMBER(Data!W20)),NOT(ISNUMBER(Data!V20))),"-",(Data!W20-Data!V20)/ABS(Data!V20)),"-")</f>
      </c>
      <c r="X133" s="470">
        <f>IFERROR(IF(OR(NOT(ISNUMBER(Data!X20)),NOT(ISNUMBER(Data!W20))),"-",(Data!X20-Data!W20)/ABS(Data!W20)),"-")</f>
      </c>
      <c r="Y133" s="470">
        <f>IFERROR(IF(OR(NOT(ISNUMBER(Data!Y20)),NOT(ISNUMBER(Data!X20))),"-",(Data!Y20-Data!X20)/ABS(Data!X20)),"-")</f>
      </c>
    </row>
    <row r="134" ht="15" customHeight="1" s="74">
      <c r="A134" s="259" t="inlineStr">
        <is>
          <t>FCF QoQ</t>
        </is>
      </c>
      <c r="B134" s="312"/>
      <c r="C134" s="312"/>
      <c r="D134" s="312"/>
      <c r="E134" s="312"/>
      <c r="F134" s="312"/>
      <c r="G134" s="312"/>
      <c r="H134" s="312"/>
      <c r="I134" s="312"/>
      <c r="J134" s="312"/>
      <c r="K134" s="312"/>
      <c r="L134" s="312"/>
      <c r="M134" s="261"/>
      <c r="N134" s="275"/>
      <c r="O134" s="275">
        <f>IFERROR(IF(OR(NOT(ISNUMBER(Data!O53)),NOT(ISNUMBER(Data!N53))),"-",(Data!O53-Data!N53)/ABS(Data!N53)),"-")</f>
        <v>-0.8759040105193951</v>
      </c>
      <c r="P134" s="275">
        <f>IFERROR(IF(OR(NOT(ISNUMBER(Data!P53)),NOT(ISNUMBER(Data!O53))),"-",(Data!P53-Data!O53)/ABS(Data!O53)),"-")</f>
        <v>1.3562913907284768</v>
      </c>
      <c r="Q134" s="275">
        <f>IFERROR(IF(OR(NOT(ISNUMBER(Data!Q53)),NOT(ISNUMBER(Data!P53))),"-",(Data!Q53-Data!P53)/ABS(Data!P53)),"-")</f>
        <v>1.145025295109612</v>
      </c>
      <c r="R134" s="275">
        <f>IFERROR(IF(OR(NOT(ISNUMBER(Data!R53)),NOT(ISNUMBER(Data!Q53))),"-",(Data!R53-Data!Q53)/ABS(Data!Q53)),"-")</f>
        <v>0.6501572327044025</v>
      </c>
      <c r="S134" s="275">
        <f>IFERROR(IF(OR(NOT(ISNUMBER(Data!S53)),NOT(ISNUMBER(Data!R53))),"-",(Data!S53-Data!R53)/ABS(Data!R53)),"-")</f>
        <v>-0.9039225027791011</v>
      </c>
      <c r="T134" s="275">
        <f>IFERROR(IF(OR(NOT(ISNUMBER(Data!T53)),NOT(ISNUMBER(Data!S53))),"-",(Data!T53-Data!S53)/ABS(Data!S53)),"-")</f>
        <v>2.5983471074380167</v>
      </c>
      <c r="U134" s="275">
        <f>IFERROR(IF(OR(NOT(ISNUMBER(Data!U53)),NOT(ISNUMBER(Data!T53))),"-",(Data!U53-Data!T53)/ABS(Data!T53)),"-")</f>
        <v>1.4451079467156638</v>
      </c>
      <c r="V134" s="274">
        <f>IFERROR(IF(OR(NOT(ISNUMBER(Data!V53)),NOT(ISNUMBER(Data!U53))),"-",(Data!V53-Data!U53)/ABS(Data!U53)),"-")</f>
        <v>0.23163629532218674</v>
      </c>
      <c r="W134" s="470">
        <f>IFERROR(IF(OR(NOT(ISNUMBER(Data!W53)),NOT(ISNUMBER(Data!V53))),"-",(Data!W53-Data!V53)/ABS(Data!V53)),"-")</f>
      </c>
      <c r="X134" s="470">
        <f>IFERROR(IF(OR(NOT(ISNUMBER(Data!X53)),NOT(ISNUMBER(Data!W53))),"-",(Data!X53-Data!W53)/ABS(Data!W53)),"-")</f>
      </c>
      <c r="Y134" s="470">
        <f>IFERROR(IF(OR(NOT(ISNUMBER(Data!Y53)),NOT(ISNUMBER(Data!X53))),"-",(Data!Y53-Data!X53)/ABS(Data!X53)),"-")</f>
      </c>
    </row>
    <row r="135" ht="15" customHeight="1" s="74">
      <c r="A135" s="272"/>
      <c r="B135" s="272"/>
      <c r="C135" s="272"/>
      <c r="D135" s="272"/>
      <c r="E135" s="272"/>
      <c r="F135" s="272"/>
      <c r="G135" s="272"/>
      <c r="H135" s="272"/>
      <c r="I135" s="272"/>
      <c r="J135" s="272"/>
      <c r="K135" s="272"/>
      <c r="L135" s="272"/>
      <c r="M135" s="261"/>
      <c r="N135" s="272"/>
      <c r="O135" s="272"/>
      <c r="P135" s="272"/>
      <c r="Q135" s="272"/>
      <c r="R135" s="272"/>
      <c r="S135" s="272"/>
      <c r="T135" s="272"/>
      <c r="U135" s="272"/>
      <c r="V135" s="261"/>
      <c r="W135" s="261"/>
      <c r="X135" s="261"/>
      <c r="Y135" s="261"/>
    </row>
    <row r="136" ht="15" customHeight="1" s="74">
      <c r="A136" s="234" t="inlineStr">
        <is>
          <t>─ Year-over-Year (Quarter) ─</t>
        </is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N136" s="2"/>
      <c r="O136" s="2"/>
      <c r="P136" s="2"/>
      <c r="Q136" s="2"/>
      <c r="R136" s="2"/>
      <c r="S136" s="2"/>
      <c r="T136" s="2"/>
      <c r="U136" s="2"/>
      <c r="W136" s="464"/>
      <c r="X136" s="464"/>
      <c r="Y136" s="464"/>
    </row>
    <row r="137" ht="15" customHeight="1" s="74">
      <c r="A137" s="259" t="inlineStr">
        <is>
          <t>Revenue YoY-Q</t>
        </is>
      </c>
      <c r="B137" s="312"/>
      <c r="C137" s="312"/>
      <c r="D137" s="312"/>
      <c r="E137" s="312"/>
      <c r="F137" s="312"/>
      <c r="G137" s="312"/>
      <c r="H137" s="312"/>
      <c r="I137" s="312"/>
      <c r="J137" s="312"/>
      <c r="K137" s="312"/>
      <c r="L137" s="312"/>
      <c r="M137" s="261"/>
      <c r="N137" s="275"/>
      <c r="O137" s="275"/>
      <c r="P137" s="275"/>
      <c r="Q137" s="275"/>
      <c r="R137" s="275">
        <f>IFERROR(IF(OR(NOT(ISNUMBER(Data!R14)),NOT(ISNUMBER(Data!N14))),"-",(Data!R14-Data!N14)/ABS(Data!N14)),"-")</f>
        <v>0.07620716084528632</v>
      </c>
      <c r="S137" s="275">
        <f>IFERROR(IF(OR(NOT(ISNUMBER(Data!S14)),NOT(ISNUMBER(Data!O14))),"-",(Data!S14-Data!O14)/ABS(Data!O14)),"-")</f>
        <v>0.09769436997319035</v>
      </c>
      <c r="T137" s="275">
        <f>IFERROR(IF(OR(NOT(ISNUMBER(Data!T14)),NOT(ISNUMBER(Data!P14))),"-",(Data!T14-Data!P14)/ABS(Data!P14)),"-")</f>
        <v>0.08629817873782296</v>
      </c>
      <c r="U137" s="275">
        <f>IFERROR(IF(OR(NOT(ISNUMBER(Data!U14)),NOT(ISNUMBER(Data!Q14))),"-",(Data!U14-Data!Q14)/ABS(Data!Q14)),"-")</f>
        <v>0.12088461923346343</v>
      </c>
      <c r="V137" s="274">
        <f>IFERROR(IF(OR(NOT(ISNUMBER(Data!V14)),NOT(ISNUMBER(Data!R14))),"-",(Data!V14-Data!R14)/ABS(Data!R14)),"-")</f>
        <v>0.13266863363516126</v>
      </c>
      <c r="W137" s="470">
        <f>IFERROR(IF(OR(NOT(ISNUMBER(Data!W14)),NOT(ISNUMBER(Data!S14))),"-",(Data!W14-Data!S14)/ABS(Data!S14)),"-")</f>
      </c>
      <c r="X137" s="470">
        <f>IFERROR(IF(OR(NOT(ISNUMBER(Data!X14)),NOT(ISNUMBER(Data!T14))),"-",(Data!X14-Data!T14)/ABS(Data!T14)),"-")</f>
      </c>
      <c r="Y137" s="470">
        <f>IFERROR(IF(OR(NOT(ISNUMBER(Data!Y14)),NOT(ISNUMBER(Data!U14))),"-",(Data!Y14-Data!U14)/ABS(Data!U14)),"-")</f>
      </c>
    </row>
    <row r="138" ht="15" customHeight="1" s="74">
      <c r="A138" s="263" t="inlineStr">
        <is>
          <t>Net Income YoY-Q</t>
        </is>
      </c>
      <c r="B138" s="312"/>
      <c r="C138" s="312"/>
      <c r="D138" s="312"/>
      <c r="E138" s="312"/>
      <c r="F138" s="312"/>
      <c r="G138" s="312"/>
      <c r="H138" s="312"/>
      <c r="I138" s="312"/>
      <c r="J138" s="312"/>
      <c r="K138" s="312"/>
      <c r="L138" s="312"/>
      <c r="M138" s="261"/>
      <c r="N138" s="276"/>
      <c r="O138" s="276"/>
      <c r="P138" s="276"/>
      <c r="Q138" s="276"/>
      <c r="R138" s="276">
        <f>IFERROR(IF(OR(NOT(ISNUMBER(Data!R26)),NOT(ISNUMBER(Data!N26))),"-",(Data!R26-Data!N26)/ABS(Data!N26)),"-")</f>
        <v>0.005218525766470972</v>
      </c>
      <c r="S138" s="276">
        <f>IFERROR(IF(OR(NOT(ISNUMBER(Data!S26)),NOT(ISNUMBER(Data!O26))),"-",(Data!S26-Data!O26)/ABS(Data!O26)),"-")</f>
        <v>0.3205038488453464</v>
      </c>
      <c r="T138" s="276">
        <f>IFERROR(IF(OR(NOT(ISNUMBER(Data!T26)),NOT(ISNUMBER(Data!P26))),"-",(Data!T26-Data!P26)/ABS(Data!P26)),"-")</f>
        <v>0.3660772757039948</v>
      </c>
      <c r="U138" s="276">
        <f>IFERROR(IF(OR(NOT(ISNUMBER(Data!U26)),NOT(ISNUMBER(Data!Q26))),"-",(Data!U26-Data!Q26)/ABS(Data!Q26)),"-")</f>
        <v>0.1375878220140515</v>
      </c>
      <c r="V138" s="276">
        <f>IFERROR(IF(OR(NOT(ISNUMBER(Data!V26)),NOT(ISNUMBER(Data!R26))),"-",(Data!V26-Data!R26)/ABS(Data!R26)),"-")</f>
        <v>0.3672939649578196</v>
      </c>
      <c r="W138" s="470">
        <f>IFERROR(IF(OR(NOT(ISNUMBER(Data!W26)),NOT(ISNUMBER(Data!S26))),"-",(Data!W26-Data!S26)/ABS(Data!S26)),"-")</f>
      </c>
      <c r="X138" s="470">
        <f>IFERROR(IF(OR(NOT(ISNUMBER(Data!X26)),NOT(ISNUMBER(Data!T26))),"-",(Data!X26-Data!T26)/ABS(Data!T26)),"-")</f>
      </c>
      <c r="Y138" s="470">
        <f>IFERROR(IF(OR(NOT(ISNUMBER(Data!Y26)),NOT(ISNUMBER(Data!U26))),"-",(Data!Y26-Data!U26)/ABS(Data!U26)),"-")</f>
      </c>
    </row>
    <row r="139" ht="15" customHeight="1" s="74">
      <c r="A139" s="259" t="inlineStr">
        <is>
          <t>EPS YoY-Q</t>
        </is>
      </c>
      <c r="B139" s="312"/>
      <c r="C139" s="312"/>
      <c r="D139" s="312"/>
      <c r="E139" s="312"/>
      <c r="F139" s="312"/>
      <c r="G139" s="312"/>
      <c r="H139" s="312"/>
      <c r="I139" s="312"/>
      <c r="J139" s="312"/>
      <c r="K139" s="312"/>
      <c r="L139" s="312"/>
      <c r="M139" s="261"/>
      <c r="N139" s="275"/>
      <c r="O139" s="275"/>
      <c r="P139" s="275"/>
      <c r="Q139" s="275"/>
      <c r="R139" s="275">
        <f>IFERROR(IF(OR(NOT(ISNUMBER(Data!R27)),NOT(ISNUMBER(Data!N27))),"-",(Data!R27-Data!N27)/ABS(Data!N27)),"-")</f>
        <v>0.019230769230769246</v>
      </c>
      <c r="S139" s="275">
        <f>IFERROR(IF(OR(NOT(ISNUMBER(Data!S27)),NOT(ISNUMBER(Data!O27))),"-",(Data!S27-Data!O27)/ABS(Data!O27)),"-")</f>
        <v>0.3333333333333333</v>
      </c>
      <c r="T139" s="275">
        <f>IFERROR(IF(OR(NOT(ISNUMBER(Data!T27)),NOT(ISNUMBER(Data!P27))),"-",(Data!T27-Data!P27)/ABS(Data!P27)),"-")</f>
        <v>0.3860759493670885</v>
      </c>
      <c r="U139" s="275">
        <f>IFERROR(IF(OR(NOT(ISNUMBER(Data!U27)),NOT(ISNUMBER(Data!Q27))),"-",(Data!U27-Data!Q27)/ABS(Data!Q27)),"-")</f>
      </c>
      <c r="V139" s="274">
        <f>IFERROR(IF(OR(NOT(ISNUMBER(Data!V27)),NOT(ISNUMBER(Data!R27))),"-",(Data!V27-Data!R27)/ABS(Data!R27)),"-")</f>
        <v>0.5220125786163521</v>
      </c>
      <c r="W139" s="470">
        <f>IFERROR(IF(OR(NOT(ISNUMBER(Data!W27)),NOT(ISNUMBER(Data!S27))),"-",(Data!W27-Data!S27)/ABS(Data!S27)),"-")</f>
      </c>
      <c r="X139" s="470">
        <f>IFERROR(IF(OR(NOT(ISNUMBER(Data!X27)),NOT(ISNUMBER(Data!T27))),"-",(Data!X27-Data!T27)/ABS(Data!T27)),"-")</f>
      </c>
      <c r="Y139" s="470">
        <f>IFERROR(IF(OR(NOT(ISNUMBER(Data!Y27)),NOT(ISNUMBER(Data!U27))),"-",(Data!Y27-Data!U27)/ABS(Data!U27)),"-")</f>
      </c>
    </row>
    <row r="140" ht="15" customHeight="1" s="74">
      <c r="A140" s="263" t="inlineStr">
        <is>
          <t>EBITDA YoY-Q</t>
        </is>
      </c>
      <c r="B140" s="312"/>
      <c r="C140" s="312"/>
      <c r="D140" s="312"/>
      <c r="E140" s="312"/>
      <c r="F140" s="312"/>
      <c r="G140" s="312"/>
      <c r="H140" s="312"/>
      <c r="I140" s="312"/>
      <c r="J140" s="312"/>
      <c r="K140" s="312"/>
      <c r="L140" s="312"/>
      <c r="M140" s="261"/>
      <c r="N140" s="277"/>
      <c r="O140" s="277"/>
      <c r="P140" s="277"/>
      <c r="Q140" s="277"/>
      <c r="R140" s="277">
        <f>IFERROR(IF(OR(NOT(ISNUMBER(Data!R20)),NOT(ISNUMBER(Data!N20))),"-",(Data!R20-Data!N20)/ABS(Data!N20)),"-")</f>
        <v>0.07612055641421947</v>
      </c>
      <c r="S140" s="277">
        <f>IFERROR(IF(OR(NOT(ISNUMBER(Data!S20)),NOT(ISNUMBER(Data!O20))),"-",(Data!S20-Data!O20)/ABS(Data!O20)),"-")</f>
        <v>0.17063197026022306</v>
      </c>
      <c r="T140" s="277">
        <f>IFERROR(IF(OR(NOT(ISNUMBER(Data!T20)),NOT(ISNUMBER(Data!P20))),"-",(Data!T20-Data!P20)/ABS(Data!P20)),"-")</f>
        <v>0.1226449944588105</v>
      </c>
      <c r="U140" s="277">
        <f>IFERROR(IF(OR(NOT(ISNUMBER(Data!U20)),NOT(ISNUMBER(Data!Q20))),"-",(Data!U20-Data!Q20)/ABS(Data!Q20)),"-")</f>
        <v>0.10826844642195031</v>
      </c>
      <c r="V140" s="276">
        <f>IFERROR(IF(OR(NOT(ISNUMBER(Data!V20)),NOT(ISNUMBER(Data!R20))),"-",(Data!V20-Data!R20)/ABS(Data!R20)),"-")</f>
        <v>0.1964093357271095</v>
      </c>
      <c r="W140" s="470">
        <f>IFERROR(IF(OR(NOT(ISNUMBER(Data!W20)),NOT(ISNUMBER(Data!S20))),"-",(Data!W20-Data!S20)/ABS(Data!S20)),"-")</f>
      </c>
      <c r="X140" s="470">
        <f>IFERROR(IF(OR(NOT(ISNUMBER(Data!X20)),NOT(ISNUMBER(Data!T20))),"-",(Data!X20-Data!T20)/ABS(Data!T20)),"-")</f>
      </c>
      <c r="Y140" s="470">
        <f>IFERROR(IF(OR(NOT(ISNUMBER(Data!Y20)),NOT(ISNUMBER(Data!U20))),"-",(Data!Y20-Data!U20)/ABS(Data!U20)),"-")</f>
      </c>
    </row>
    <row r="141" ht="15" customHeight="1" s="74">
      <c r="A141" s="259" t="inlineStr">
        <is>
          <t>FCF YoY-Q</t>
        </is>
      </c>
      <c r="B141" s="312"/>
      <c r="C141" s="312"/>
      <c r="D141" s="312"/>
      <c r="E141" s="312"/>
      <c r="F141" s="312"/>
      <c r="G141" s="312"/>
      <c r="H141" s="312"/>
      <c r="I141" s="312"/>
      <c r="J141" s="312"/>
      <c r="K141" s="312"/>
      <c r="L141" s="312"/>
      <c r="M141" s="261"/>
      <c r="N141" s="275"/>
      <c r="O141" s="275"/>
      <c r="P141" s="275"/>
      <c r="Q141" s="275"/>
      <c r="R141" s="275">
        <f>IFERROR(IF(OR(NOT(ISNUMBER(Data!R53)),NOT(ISNUMBER(Data!N53))),"-",(Data!R53-Data!N53)/ABS(Data!N53)),"-")</f>
        <v>0.035009861932938854</v>
      </c>
      <c r="S141" s="275">
        <f>IFERROR(IF(OR(NOT(ISNUMBER(Data!S53)),NOT(ISNUMBER(Data!O53))),"-",(Data!S53-Data!O53)/ABS(Data!O53)),"-")</f>
        <v>-0.1986754966887417</v>
      </c>
      <c r="T141" s="275">
        <f>IFERROR(IF(OR(NOT(ISNUMBER(Data!T53)),NOT(ISNUMBER(Data!P53))),"-",(Data!T53-Data!P53)/ABS(Data!P53)),"-")</f>
        <v>0.2237211916807195</v>
      </c>
      <c r="U141" s="275">
        <f>IFERROR(IF(OR(NOT(ISNUMBER(Data!U53)),NOT(ISNUMBER(Data!Q53))),"-",(Data!U53-Data!Q53)/ABS(Data!Q53)),"-")</f>
        <v>0.394916142557652</v>
      </c>
      <c r="V141" s="274">
        <f>IFERROR(IF(OR(NOT(ISNUMBER(Data!V53)),NOT(ISNUMBER(Data!R53))),"-",(Data!V53-Data!R53)/ABS(Data!R53)),"-")</f>
        <v>0.04113069715737653</v>
      </c>
      <c r="W141" s="470">
        <f>IFERROR(IF(OR(NOT(ISNUMBER(Data!W53)),NOT(ISNUMBER(Data!S53))),"-",(Data!W53-Data!S53)/ABS(Data!S53)),"-")</f>
      </c>
      <c r="X141" s="470">
        <f>IFERROR(IF(OR(NOT(ISNUMBER(Data!X53)),NOT(ISNUMBER(Data!T53))),"-",(Data!X53-Data!T53)/ABS(Data!T53)),"-")</f>
      </c>
      <c r="Y141" s="470">
        <f>IFERROR(IF(OR(NOT(ISNUMBER(Data!Y53)),NOT(ISNUMBER(Data!U53))),"-",(Data!Y53-Data!U53)/ABS(Data!U53)),"-")</f>
      </c>
    </row>
    <row r="142" ht="15" customHeight="1" s="74">
      <c r="A142" s="272"/>
      <c r="B142" s="272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61"/>
      <c r="N142" s="272"/>
      <c r="O142" s="272"/>
      <c r="P142" s="272"/>
      <c r="Q142" s="272"/>
      <c r="R142" s="272"/>
      <c r="S142" s="272"/>
      <c r="T142" s="272"/>
      <c r="U142" s="272"/>
      <c r="V142" s="261"/>
      <c r="W142" s="261"/>
      <c r="X142" s="261"/>
      <c r="Y142" s="261"/>
    </row>
    <row r="143" ht="15" customHeight="1" s="74">
      <c r="A143" s="234" t="inlineStr">
        <is>
          <t>─ Quarterly Margins ─</t>
        </is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N143" s="10"/>
      <c r="O143" s="10"/>
      <c r="P143" s="10"/>
      <c r="Q143" s="10"/>
      <c r="R143" s="10"/>
      <c r="S143" s="10"/>
      <c r="T143" s="10"/>
      <c r="U143" s="10"/>
      <c r="W143" s="464"/>
      <c r="X143" s="464"/>
      <c r="Y143" s="464"/>
    </row>
    <row r="144" ht="15" customHeight="1" s="74">
      <c r="A144" s="259" t="inlineStr">
        <is>
          <t>Gross Margin (Q)</t>
        </is>
      </c>
      <c r="B144" s="312"/>
      <c r="C144" s="312"/>
      <c r="D144" s="312"/>
      <c r="E144" s="312"/>
      <c r="F144" s="312"/>
      <c r="G144" s="312"/>
      <c r="H144" s="312"/>
      <c r="I144" s="312"/>
      <c r="J144" s="312"/>
      <c r="K144" s="312"/>
      <c r="L144" s="312"/>
      <c r="M144" s="261"/>
      <c r="N144" s="274">
        <f>IFERROR(IF(OR(NOT(ISNUMBER(Data!N16)),NOT(ISNUMBER(Data!N14))),"-",Data!N16/Data!N14),"-")</f>
        <v>0.7632760319719698</v>
      </c>
      <c r="O144" s="274">
        <f>IFERROR(IF(OR(NOT(ISNUMBER(Data!O16)),NOT(ISNUMBER(Data!O14))),"-",Data!O16/Data!O14),"-")</f>
        <v>0.7684718498659517</v>
      </c>
      <c r="P144" s="274">
        <f>IFERROR(IF(OR(NOT(ISNUMBER(Data!P16)),NOT(ISNUMBER(Data!P14))),"-",Data!P16/Data!P14),"-")</f>
        <v>0.7771071579839052</v>
      </c>
      <c r="Q144" s="274">
        <f>IFERROR(IF(OR(NOT(ISNUMBER(Data!Q16)),NOT(ISNUMBER(Data!Q14))),"-",Data!Q16/Data!Q14),"-")</f>
        <v>0.7781447012909036</v>
      </c>
      <c r="R144" s="274">
        <f>IFERROR(IF(OR(NOT(ISNUMBER(Data!R16)),NOT(ISNUMBER(Data!R14))),"-",Data!R16/Data!R14),"-")</f>
        <v>0.7695594668837115</v>
      </c>
      <c r="S144" s="274">
        <f>IFERROR(IF(OR(NOT(ISNUMBER(Data!S16)),NOT(ISNUMBER(Data!S14))),"-",Data!S16/Data!S14),"-")</f>
        <v>0.780969128565846</v>
      </c>
      <c r="T144" s="274">
        <f>IFERROR(IF(OR(NOT(ISNUMBER(Data!T16)),NOT(ISNUMBER(Data!T14))),"-",Data!T16/Data!T14),"-")</f>
        <v>0.78019300126718</v>
      </c>
      <c r="U144" s="274">
        <f>IFERROR(IF(OR(NOT(ISNUMBER(Data!U16)),NOT(ISNUMBER(Data!U14))),"-",Data!U16/Data!U14),"-")</f>
        <v>0.7760914204088921</v>
      </c>
      <c r="V144" s="274">
        <f>IFERROR(IF(OR(NOT(ISNUMBER(Data!V16)),NOT(ISNUMBER(Data!V14))),"-",Data!V16/Data!V14),"-")</f>
        <v>0.769154765112728</v>
      </c>
      <c r="W144" s="470">
        <f>IFERROR(IF(OR(NOT(ISNUMBER(Data!W16)),NOT(ISNUMBER(Data!W14))),"-",Data!W16/Data!W14),"-")</f>
      </c>
      <c r="X144" s="470">
        <f>IFERROR(IF(OR(NOT(ISNUMBER(Data!X16)),NOT(ISNUMBER(Data!X14))),"-",Data!X16/Data!X14),"-")</f>
      </c>
      <c r="Y144" s="470">
        <f>IFERROR(IF(OR(NOT(ISNUMBER(Data!Y16)),NOT(ISNUMBER(Data!Y14))),"-",Data!Y16/Data!Y14),"-")</f>
      </c>
    </row>
    <row r="145" ht="15" customHeight="1" s="74">
      <c r="A145" s="263" t="inlineStr">
        <is>
          <t>EBITDA Margin (Q)</t>
        </is>
      </c>
      <c r="B145" s="312"/>
      <c r="C145" s="312"/>
      <c r="D145" s="312"/>
      <c r="E145" s="312"/>
      <c r="F145" s="312"/>
      <c r="G145" s="312"/>
      <c r="H145" s="312"/>
      <c r="I145" s="312"/>
      <c r="J145" s="312"/>
      <c r="K145" s="312"/>
      <c r="L145" s="312"/>
      <c r="M145" s="261"/>
      <c r="N145" s="277">
        <f>IFERROR(IF(OR(NOT(ISNUMBER(Data!N20)),NOT(ISNUMBER(Data!N14))),"-",Data!N20/Data!N14),"-")</f>
        <v>0.2833680061316106</v>
      </c>
      <c r="O145" s="277">
        <f>IFERROR(IF(OR(NOT(ISNUMBER(Data!O20)),NOT(ISNUMBER(Data!O14))),"-",Data!O20/Data!O14),"-")</f>
        <v>0.28847184986595176</v>
      </c>
      <c r="P145" s="277">
        <f>IFERROR(IF(OR(NOT(ISNUMBER(Data!P20)),NOT(ISNUMBER(Data!P14))),"-",Data!P20/Data!P14),"-")</f>
        <v>0.2866370182126218</v>
      </c>
      <c r="Q145" s="277">
        <f>IFERROR(IF(OR(NOT(ISNUMBER(Data!Q20)),NOT(ISNUMBER(Data!Q14))),"-",Data!Q20/Data!Q14),"-")</f>
        <v>0.2698889222455719</v>
      </c>
      <c r="R145" s="277">
        <f>IFERROR(IF(OR(NOT(ISNUMBER(Data!R20)),NOT(ISNUMBER(Data!R14))),"-",Data!R20/Data!R14),"-")</f>
        <v>0.2833452029708007</v>
      </c>
      <c r="S145" s="277">
        <f>IFERROR(IF(OR(NOT(ISNUMBER(Data!S20)),NOT(ISNUMBER(Data!S14))),"-",Data!S20/Data!S14),"-")</f>
        <v>0.3076397030089879</v>
      </c>
      <c r="T145" s="277">
        <f>IFERROR(IF(OR(NOT(ISNUMBER(Data!T20)),NOT(ISNUMBER(Data!T14))),"-",Data!T20/Data!T14),"-")</f>
        <v>0.2962277025051175</v>
      </c>
      <c r="U145" s="277">
        <f>IFERROR(IF(OR(NOT(ISNUMBER(Data!U20)),NOT(ISNUMBER(Data!U14))),"-",Data!U20/Data!U14),"-")</f>
        <v>0.2668511740023212</v>
      </c>
      <c r="V145" s="276">
        <f>IFERROR(IF(OR(NOT(ISNUMBER(Data!V20)),NOT(ISNUMBER(Data!V14))),"-",Data!V20/Data!V14),"-")</f>
        <v>0.2992903979161053</v>
      </c>
      <c r="W145" s="470">
        <f>IFERROR(IF(OR(NOT(ISNUMBER(Data!W20)),NOT(ISNUMBER(Data!W14))),"-",Data!W20/Data!W14),"-")</f>
      </c>
      <c r="X145" s="470">
        <f>IFERROR(IF(OR(NOT(ISNUMBER(Data!X20)),NOT(ISNUMBER(Data!X14))),"-",Data!X20/Data!X14),"-")</f>
      </c>
      <c r="Y145" s="470">
        <f>IFERROR(IF(OR(NOT(ISNUMBER(Data!Y20)),NOT(ISNUMBER(Data!Y14))),"-",Data!Y20/Data!Y14),"-")</f>
      </c>
    </row>
    <row r="146" ht="15" customHeight="1" s="74">
      <c r="A146" s="259" t="inlineStr">
        <is>
          <t>Operating Margin (Q)</t>
        </is>
      </c>
      <c r="B146" s="312"/>
      <c r="C146" s="312"/>
      <c r="D146" s="312"/>
      <c r="E146" s="312"/>
      <c r="F146" s="312"/>
      <c r="G146" s="312"/>
      <c r="H146" s="312"/>
      <c r="I146" s="312"/>
      <c r="J146" s="312"/>
      <c r="K146" s="312"/>
      <c r="L146" s="312"/>
      <c r="M146" s="261"/>
      <c r="N146" s="275">
        <f>IFERROR(IF(OR(NOT(ISNUMBER(Data!N22)),NOT(ISNUMBER(Data!N14))),"-",Data!N22/Data!N14),"-")</f>
        <v>0.1871236176502792</v>
      </c>
      <c r="O146" s="275">
        <f>IFERROR(IF(OR(NOT(ISNUMBER(Data!O22)),NOT(ISNUMBER(Data!O14))),"-",Data!O22/Data!O14),"-")</f>
        <v>0.1912064343163539</v>
      </c>
      <c r="P146" s="275">
        <f>IFERROR(IF(OR(NOT(ISNUMBER(Data!P22)),NOT(ISNUMBER(Data!P14))),"-",Data!P22/Data!P14),"-")</f>
        <v>0.20044472681067343</v>
      </c>
      <c r="Q146" s="275">
        <f>IFERROR(IF(OR(NOT(ISNUMBER(Data!Q22)),NOT(ISNUMBER(Data!Q14))),"-",Data!Q22/Data!Q14),"-")</f>
        <v>0.18212748924246974</v>
      </c>
      <c r="R146" s="275">
        <f>IFERROR(IF(OR(NOT(ISNUMBER(Data!R22)),NOT(ISNUMBER(Data!R14))),"-",Data!R22/Data!R14),"-")</f>
        <v>0.19757859395665886</v>
      </c>
      <c r="S146" s="275">
        <f>IFERROR(IF(OR(NOT(ISNUMBER(Data!S22)),NOT(ISNUMBER(Data!S14))),"-",Data!S22/Data!S14),"-")</f>
        <v>0.2278233685033216</v>
      </c>
      <c r="T146" s="275">
        <f>IFERROR(IF(OR(NOT(ISNUMBER(Data!T22)),NOT(ISNUMBER(Data!T14))),"-",Data!T22/Data!T14),"-")</f>
        <v>0.21327614777268739</v>
      </c>
      <c r="U146" s="275">
        <f>IFERROR(IF(OR(NOT(ISNUMBER(Data!U22)),NOT(ISNUMBER(Data!U14))),"-",Data!U22/Data!U14),"-")</f>
        <v>0.16686010177662708</v>
      </c>
      <c r="V146" s="274">
        <f>IFERROR(IF(OR(NOT(ISNUMBER(Data!V22)),NOT(ISNUMBER(Data!V14))),"-",Data!V22/Data!V14),"-")</f>
        <v>0.21081469505075</v>
      </c>
      <c r="W146" s="470">
        <f>IFERROR(IF(OR(NOT(ISNUMBER(Data!W22)),NOT(ISNUMBER(Data!W14))),"-",Data!W22/Data!W14),"-")</f>
      </c>
      <c r="X146" s="470">
        <f>IFERROR(IF(OR(NOT(ISNUMBER(Data!X22)),NOT(ISNUMBER(Data!X14))),"-",Data!X22/Data!X14),"-")</f>
      </c>
      <c r="Y146" s="470">
        <f>IFERROR(IF(OR(NOT(ISNUMBER(Data!Y22)),NOT(ISNUMBER(Data!Y14))),"-",Data!Y22/Data!Y14),"-")</f>
      </c>
    </row>
    <row r="147" ht="15" customHeight="1" s="74">
      <c r="A147" s="263" t="inlineStr">
        <is>
          <t>Net Margin (Q)</t>
        </is>
      </c>
      <c r="B147" s="312"/>
      <c r="C147" s="312"/>
      <c r="D147" s="312"/>
      <c r="E147" s="312"/>
      <c r="F147" s="312"/>
      <c r="G147" s="312"/>
      <c r="H147" s="312"/>
      <c r="I147" s="312"/>
      <c r="J147" s="312"/>
      <c r="K147" s="312"/>
      <c r="L147" s="312"/>
      <c r="M147" s="261"/>
      <c r="N147" s="277">
        <f>IFERROR(IF(OR(NOT(ISNUMBER(Data!N26)),NOT(ISNUMBER(Data!N14))),"-",Data!N26/Data!N14),"-")</f>
        <v>0.16785284134457462</v>
      </c>
      <c r="O147" s="277">
        <f>IFERROR(IF(OR(NOT(ISNUMBER(Data!O26)),NOT(ISNUMBER(Data!O14))),"-",Data!O26/Data!O14),"-")</f>
        <v>0.15324396782841823</v>
      </c>
      <c r="P147" s="277">
        <f>IFERROR(IF(OR(NOT(ISNUMBER(Data!P26)),NOT(ISNUMBER(Data!P14))),"-",Data!P26/Data!P14),"-")</f>
        <v>0.1616899618805591</v>
      </c>
      <c r="Q147" s="277">
        <f>IFERROR(IF(OR(NOT(ISNUMBER(Data!Q26)),NOT(ISNUMBER(Data!Q14))),"-",Data!Q26/Data!Q14),"-")</f>
        <v>0.17091964375062543</v>
      </c>
      <c r="R147" s="277">
        <f>IFERROR(IF(OR(NOT(ISNUMBER(Data!R26)),NOT(ISNUMBER(Data!R14))),"-",Data!R26/Data!R14),"-")</f>
        <v>0.1567809543188524</v>
      </c>
      <c r="S147" s="277">
        <f>IFERROR(IF(OR(NOT(ISNUMBER(Data!S26)),NOT(ISNUMBER(Data!S14))),"-",Data!S26/Data!S14),"-")</f>
        <v>0.1843493552168816</v>
      </c>
      <c r="T147" s="277">
        <f>IFERROR(IF(OR(NOT(ISNUMBER(Data!T26)),NOT(ISNUMBER(Data!T14))),"-",Data!T26/Data!T14),"-")</f>
        <v>0.20333365825129154</v>
      </c>
      <c r="U147" s="277">
        <f>IFERROR(IF(OR(NOT(ISNUMBER(Data!U26)),NOT(ISNUMBER(Data!U14))),"-",Data!U26/Data!U14),"-")</f>
        <v>0.1734666547629676</v>
      </c>
      <c r="V147" s="276">
        <f>IFERROR(IF(OR(NOT(ISNUMBER(Data!V26)),NOT(ISNUMBER(Data!V14))),"-",Data!V26/Data!V14),"-")</f>
        <v>0.1892571633881254</v>
      </c>
      <c r="W147" s="470">
        <f>IFERROR(IF(OR(NOT(ISNUMBER(Data!W26)),NOT(ISNUMBER(Data!W14))),"-",Data!W26/Data!W14),"-")</f>
      </c>
      <c r="X147" s="470">
        <f>IFERROR(IF(OR(NOT(ISNUMBER(Data!X26)),NOT(ISNUMBER(Data!X14))),"-",Data!X26/Data!X14),"-")</f>
      </c>
      <c r="Y147" s="470">
        <f>IFERROR(IF(OR(NOT(ISNUMBER(Data!Y26)),NOT(ISNUMBER(Data!Y14))),"-",Data!Y26/Data!Y14),"-")</f>
      </c>
    </row>
    <row r="148" ht="15" customHeight="1" s="74">
      <c r="A148" s="259" t="inlineStr">
        <is>
          <t>FCF Margin (Q)</t>
        </is>
      </c>
      <c r="B148" s="312"/>
      <c r="C148" s="312"/>
      <c r="D148" s="312"/>
      <c r="E148" s="312"/>
      <c r="F148" s="312"/>
      <c r="G148" s="312"/>
      <c r="H148" s="312"/>
      <c r="I148" s="312"/>
      <c r="J148" s="312"/>
      <c r="K148" s="312"/>
      <c r="L148" s="312"/>
      <c r="M148" s="261"/>
      <c r="N148" s="275">
        <f>IFERROR(IF(OR(NOT(ISNUMBER(Data!N53)),NOT(ISNUMBER(Data!N14))),"-",Data!N53/Data!N14),"-")</f>
        <v>0.6661556991131063</v>
      </c>
      <c r="O148" s="275">
        <f>IFERROR(IF(OR(NOT(ISNUMBER(Data!O53)),NOT(ISNUMBER(Data!O14))),"-",Data!O53/Data!O14),"-")</f>
        <v>0.08096514745308311</v>
      </c>
      <c r="P148" s="275">
        <f>IFERROR(IF(OR(NOT(ISNUMBER(Data!P53)),NOT(ISNUMBER(Data!P14))),"-",Data!P53/Data!P14),"-")</f>
        <v>0.1883735705209657</v>
      </c>
      <c r="Q148" s="275">
        <f>IFERROR(IF(OR(NOT(ISNUMBER(Data!Q53)),NOT(ISNUMBER(Data!Q14))),"-",Data!Q53/Data!Q14),"-")</f>
        <v>0.38186730711498046</v>
      </c>
      <c r="R148" s="275">
        <f>IFERROR(IF(OR(NOT(ISNUMBER(Data!R53)),NOT(ISNUMBER(Data!R14))),"-",Data!R53/Data!R14),"-")</f>
        <v>0.6406552039881982</v>
      </c>
      <c r="S148" s="275">
        <f>IFERROR(IF(OR(NOT(ISNUMBER(Data!S53)),NOT(ISNUMBER(Data!S14))),"-",Data!S53/Data!S14),"-")</f>
        <v>0.059105119187182496</v>
      </c>
      <c r="T148" s="275">
        <f>IFERROR(IF(OR(NOT(ISNUMBER(Data!T53)),NOT(ISNUMBER(Data!T14))),"-",Data!T53/Data!T14),"-")</f>
        <v>0.21220391851057607</v>
      </c>
      <c r="U148" s="275">
        <f>IFERROR(IF(OR(NOT(ISNUMBER(Data!U53)),NOT(ISNUMBER(Data!U14))),"-",Data!U53/Data!U14),"-")</f>
        <v>0.4752254263012231</v>
      </c>
      <c r="V148" s="274">
        <f>IFERROR(IF(OR(NOT(ISNUMBER(Data!V53)),NOT(ISNUMBER(Data!V14))),"-",Data!V53/Data!V14),"-")</f>
        <v>0.5888799065840294</v>
      </c>
      <c r="W148" s="470">
        <f>IFERROR(IF(OR(NOT(ISNUMBER(Data!W53)),NOT(ISNUMBER(Data!W14))),"-",Data!W53/Data!W14),"-")</f>
      </c>
      <c r="X148" s="470">
        <f>IFERROR(IF(OR(NOT(ISNUMBER(Data!X53)),NOT(ISNUMBER(Data!X14))),"-",Data!X53/Data!X14),"-")</f>
      </c>
      <c r="Y148" s="470">
        <f>IFERROR(IF(OR(NOT(ISNUMBER(Data!Y53)),NOT(ISNUMBER(Data!Y14))),"-",Data!Y53/Data!Y14),"-")</f>
      </c>
    </row>
    <row r="149" ht="15" customHeight="1" s="74">
      <c r="A149" s="272"/>
      <c r="B149" s="272"/>
      <c r="C149" s="272"/>
      <c r="D149" s="272"/>
      <c r="E149" s="272"/>
      <c r="F149" s="272"/>
      <c r="G149" s="272"/>
      <c r="H149" s="272"/>
      <c r="I149" s="272"/>
      <c r="J149" s="272"/>
      <c r="K149" s="272"/>
      <c r="L149" s="272"/>
      <c r="M149" s="261"/>
      <c r="N149" s="272"/>
      <c r="O149" s="272"/>
      <c r="P149" s="272"/>
      <c r="Q149" s="272"/>
      <c r="R149" s="272"/>
      <c r="S149" s="272"/>
      <c r="T149" s="272"/>
      <c r="U149" s="272"/>
      <c r="V149" s="261"/>
      <c r="W149" s="261"/>
      <c r="X149" s="261"/>
      <c r="Y149" s="261"/>
    </row>
    <row r="150" ht="15" customHeight="1" s="7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N150" s="2"/>
      <c r="O150" s="2"/>
      <c r="P150" s="2"/>
      <c r="Q150" s="2"/>
      <c r="R150" s="2"/>
      <c r="S150" s="2"/>
      <c r="T150" s="2"/>
      <c r="U150" s="2"/>
    </row>
    <row r="151" ht="19" customHeight="1" s="74">
      <c r="A151" s="226" t="inlineStr">
        <is>
          <t>COMPOUND ANNUAL GROWTH RATES (CAGR)</t>
        </is>
      </c>
    </row>
    <row r="152" ht="15" customHeight="1" s="74">
      <c r="A152" s="38" t="inlineStr">
        <is>
          <t>Metric</t>
        </is>
      </c>
      <c r="B152" s="38"/>
      <c r="C152" s="38"/>
      <c r="D152" s="38"/>
      <c r="E152" s="2"/>
      <c r="F152" s="2"/>
      <c r="G152" s="2"/>
      <c r="H152" s="2"/>
      <c r="I152" s="2"/>
      <c r="J152" s="2"/>
      <c r="K152" s="2"/>
      <c r="L152" s="2"/>
      <c r="N152" s="2"/>
      <c r="O152" s="2"/>
      <c r="P152" s="2"/>
      <c r="Q152" s="2"/>
      <c r="R152" s="2"/>
      <c r="S152" s="2"/>
      <c r="T152" s="2"/>
      <c r="U152" s="2"/>
    </row>
    <row r="153" ht="15" customHeight="1" s="74">
      <c r="A153" s="15" t="inlineStr">
        <is>
          <t>Revenue</t>
        </is>
      </c>
      <c r="B153" s="84">
        <f>IFERROR(IF(OR(NOT(ISNUMBER(Data!L14)),NOT(ISNUMBER(Data!I14)),Data!I14&lt;=0),"-",(Data!L14/Data!I14)^(1/3)-1),"-")</f>
        <v>0.09820006113830493</v>
      </c>
      <c r="C153" s="84">
        <f>IFERROR(IF(OR(NOT(ISNUMBER(Data!L14)),NOT(ISNUMBER(Data!G14)),Data!G14&lt;=0),"-",(Data!L14/Data!G14)^(1/5)-1),"-")</f>
        <v>0.14335729427517552</v>
      </c>
      <c r="D153" s="84">
        <f>IFERROR(IF(OR(NOT(ISNUMBER(Data!L14)),NOT(ISNUMBER(Data!B14)),Data!B14&lt;=0,Data!L14&lt;0),"-",(Data!L14/Data!B14)^(1/10)-1),"-")</f>
        <v>0.20070553205342456</v>
      </c>
      <c r="E153" s="10"/>
      <c r="F153" s="10"/>
      <c r="G153" s="10"/>
      <c r="H153" s="10"/>
      <c r="I153" s="10"/>
      <c r="J153" s="10"/>
      <c r="K153" s="10"/>
      <c r="L153" s="10"/>
      <c r="N153" s="10"/>
      <c r="O153" s="10"/>
      <c r="P153" s="10"/>
      <c r="Q153" s="10"/>
      <c r="R153" s="10"/>
      <c r="S153" s="10"/>
      <c r="T153" s="10"/>
      <c r="U153" s="10"/>
    </row>
    <row r="154" ht="15" customHeight="1" s="74">
      <c r="A154" s="17" t="inlineStr">
        <is>
          <t>EBITDA</t>
        </is>
      </c>
      <c r="B154" s="81">
        <f>IFERROR(IF(OR(NOT(ISNUMBER(Data!L20)),NOT(ISNUMBER(Data!I20)),Data!I20&lt;=0),"-",(Data!L20/Data!I20)^(1/3)-1),"-")</f>
        <v>0.35427160675632785</v>
      </c>
      <c r="C154" s="81">
        <f>IFERROR(IF(OR(NOT(ISNUMBER(Data!L20)),NOT(ISNUMBER(Data!G20)),Data!G20&lt;=0),"-",(Data!L20/Data!G20)^(1/5)-1),"-")</f>
        <v>0.29369427048517904</v>
      </c>
      <c r="D154" s="81">
        <f>IFERROR(IF(OR(NOT(ISNUMBER(Data!L20)),NOT(ISNUMBER(Data!B20)),Data!B20&lt;=0,Data!L20&lt;0),"-",(Data!L20/Data!B20)^(1/10)-1),"-")</f>
        <v>0.3400368386644028</v>
      </c>
      <c r="E154" s="2"/>
      <c r="F154" s="2"/>
      <c r="G154" s="2"/>
      <c r="H154" s="2"/>
      <c r="I154" s="2"/>
      <c r="J154" s="2"/>
      <c r="K154" s="2"/>
      <c r="L154" s="2"/>
      <c r="N154" s="2"/>
      <c r="O154" s="2"/>
      <c r="P154" s="2"/>
      <c r="Q154" s="2"/>
      <c r="R154" s="2"/>
      <c r="S154" s="2"/>
      <c r="T154" s="2"/>
      <c r="U154" s="2"/>
    </row>
    <row r="155" ht="15" customHeight="1" s="74">
      <c r="A155" s="15" t="inlineStr">
        <is>
          <t>Net Income</t>
        </is>
      </c>
      <c r="B155" s="84">
        <f>IFERROR(IF(OR(NOT(ISNUMBER(Data!L26)),NOT(ISNUMBER(Data!I26)),Data!I26&lt;=0),"-",(Data!L26/Data!I26)^(1/3)-1),"-")</f>
        <v>2.2973643337642913</v>
      </c>
      <c r="C155" s="84">
        <f>IFERROR(IF(OR(NOT(ISNUMBER(Data!L26)),NOT(ISNUMBER(Data!G26)),Data!G26&lt;=0),"-",(Data!L26/Data!G26)^(1/5)-1),"-")</f>
        <v>0.12862918067985896</v>
      </c>
      <c r="D155" s="84">
        <f>IFERROR(IF(OR(NOT(ISNUMBER(Data!L26)),NOT(ISNUMBER(Data!B26)),Data!B26&lt;=0,Data!L26&lt;0),"-",(Data!L26/Data!B26)^(1/10)-1),"-")</f>
      </c>
      <c r="E155" s="10"/>
      <c r="F155" s="10"/>
      <c r="G155" s="10"/>
      <c r="H155" s="10"/>
      <c r="I155" s="10"/>
      <c r="J155" s="10"/>
      <c r="K155" s="10"/>
      <c r="L155" s="10"/>
      <c r="N155" s="10"/>
      <c r="O155" s="10"/>
      <c r="P155" s="10"/>
      <c r="Q155" s="10"/>
      <c r="R155" s="10"/>
      <c r="S155" s="10"/>
      <c r="T155" s="10"/>
      <c r="U155" s="10"/>
    </row>
    <row r="156" ht="15" customHeight="1" s="74">
      <c r="A156" s="17" t="inlineStr">
        <is>
          <t>Diluted EPS</t>
        </is>
      </c>
      <c r="B156" s="81">
        <f>IFERROR(IF(OR(NOT(ISNUMBER(Data!L27)),NOT(ISNUMBER(Data!I27)),Data!I27&lt;=0),"-",(Data!L27/Data!I27)^(1/3)-1),"-")</f>
        <v>2.3365049178663173</v>
      </c>
      <c r="C156" s="81">
        <f>IFERROR(IF(OR(NOT(ISNUMBER(Data!L27)),NOT(ISNUMBER(Data!G27)),Data!G27&lt;=0),"-",(Data!L27/Data!G27)^(1/5)-1),"-")</f>
        <v>0.12233911375838757</v>
      </c>
      <c r="D156" s="81">
        <f>IFERROR(IF(OR(NOT(ISNUMBER(Data!L27)),NOT(ISNUMBER(Data!B27)),Data!B27&lt;=0,Data!L27&lt;0),"-",(Data!L27/Data!B27)^(1/10)-1),"-")</f>
      </c>
      <c r="E156" s="2"/>
      <c r="F156" s="2"/>
      <c r="G156" s="2"/>
      <c r="H156" s="2"/>
      <c r="I156" s="2"/>
      <c r="J156" s="2"/>
      <c r="K156" s="2"/>
      <c r="L156" s="2"/>
      <c r="N156" s="2"/>
      <c r="O156" s="2"/>
      <c r="P156" s="2"/>
      <c r="Q156" s="2"/>
      <c r="R156" s="2"/>
      <c r="S156" s="2"/>
      <c r="T156" s="2"/>
      <c r="U156" s="2"/>
    </row>
    <row r="157" ht="15" customHeight="1" s="74">
      <c r="A157" s="15" t="inlineStr">
        <is>
          <t>Free Cash Flow</t>
        </is>
      </c>
      <c r="B157" s="84">
        <f>IFERROR(IF(OR(NOT(ISNUMBER(Data!L53)),NOT(ISNUMBER(Data!I53)),Data!I53&lt;=0),"-",(Data!L53/Data!I53)^(1/3)-1),"-")</f>
        <v>0.3164236393248525</v>
      </c>
      <c r="C157" s="84">
        <f>IFERROR(IF(OR(NOT(ISNUMBER(Data!L53)),NOT(ISNUMBER(Data!G53)),Data!G53&lt;=0),"-",(Data!L53/Data!G53)^(1/5)-1),"-")</f>
        <v>0.2862300905601418</v>
      </c>
      <c r="D157" s="84">
        <f>IFERROR(IF(OR(NOT(ISNUMBER(Data!L53)),NOT(ISNUMBER(Data!B53)),Data!B53&lt;=0,Data!L53&lt;0),"-",(Data!L53/Data!B53)^(1/10)-1),"-")</f>
        <v>0.26361768381628226</v>
      </c>
      <c r="E157" s="10"/>
      <c r="F157" s="10"/>
      <c r="G157" s="10"/>
      <c r="H157" s="10"/>
      <c r="I157" s="10"/>
      <c r="J157" s="10"/>
      <c r="K157" s="10"/>
      <c r="L157" s="10"/>
      <c r="N157" s="10"/>
      <c r="O157" s="10"/>
      <c r="P157" s="10"/>
      <c r="Q157" s="10"/>
      <c r="R157" s="10"/>
      <c r="S157" s="10"/>
      <c r="T157" s="10"/>
      <c r="U157" s="10"/>
    </row>
    <row r="158" ht="15" customHeight="1" s="74">
      <c r="A158" s="17" t="inlineStr">
        <is>
          <t>Operating Cash Flow</t>
        </is>
      </c>
      <c r="B158" s="81">
        <f>IFERROR(IF(OR(NOT(ISNUMBER(Data!L51)),NOT(ISNUMBER(Data!I51)),Data!I51&lt;=0),"-",(Data!L51/Data!I51)^(1/3)-1),"-")</f>
        <v>0.28237463054570644</v>
      </c>
      <c r="C158" s="81">
        <f>IFERROR(IF(OR(NOT(ISNUMBER(Data!L51)),NOT(ISNUMBER(Data!G51)),Data!G51&lt;=0),"-",(Data!L51/Data!G51)^(1/5)-1),"-")</f>
        <v>0.255823903334534</v>
      </c>
      <c r="D158" s="81">
        <f>IFERROR(IF(OR(NOT(ISNUMBER(Data!L51)),NOT(ISNUMBER(Data!B51)),Data!B51&lt;=0,Data!L51&lt;0),"-",(Data!L51/Data!B51)^(1/10)-1),"-")</f>
        <v>0.24529376018579763</v>
      </c>
      <c r="E158" s="2"/>
      <c r="F158" s="2"/>
      <c r="G158" s="2"/>
      <c r="H158" s="2"/>
      <c r="I158" s="2"/>
      <c r="J158" s="2"/>
      <c r="K158" s="2"/>
      <c r="L158" s="2"/>
      <c r="N158" s="2"/>
      <c r="O158" s="2"/>
      <c r="P158" s="2"/>
      <c r="Q158" s="2"/>
      <c r="R158" s="2"/>
      <c r="S158" s="2"/>
      <c r="T158" s="2"/>
      <c r="U158" s="2"/>
    </row>
    <row r="159" ht="15" customHeight="1" s="74">
      <c r="A159" s="15" t="inlineStr">
        <is>
          <t>Dividends / Share</t>
        </is>
      </c>
      <c r="B159" s="84">
        <f>IFERROR(IF(OR(NOT(ISNUMBER(Data!L55)),NOT(ISNUMBER(Data!L28)),NOT(ISNUMBER(Data!I55)),NOT(ISNUMBER(Data!I28))),"-",((ABS(Data!L55)/Data!L28)/(ABS(Data!I55)/Data!I28))^(1/3)-1),"-")</f>
      </c>
      <c r="C159" s="84">
        <f>IFERROR(IF(OR(NOT(ISNUMBER(Data!L55)),NOT(ISNUMBER(Data!L28)),NOT(ISNUMBER(Data!G55)),NOT(ISNUMBER(Data!G28))),"-",((ABS(Data!L55)/Data!L28)/(ABS(Data!G55)/Data!G28))^(1/5)-1),"-")</f>
      </c>
      <c r="D159" s="84">
        <f>IFERROR(IF(OR(NOT(ISNUMBER(Data!L55)),NOT(ISNUMBER(Data!L28)),NOT(ISNUMBER(Data!B55)),NOT(ISNUMBER(Data!B28))),"-",((ABS(Data!L55)/Data!L28)/(ABS(Data!B55)/Data!B28))^(1/10)-1),"-")</f>
      </c>
      <c r="E159" s="10"/>
      <c r="F159" s="10"/>
      <c r="G159" s="10"/>
      <c r="H159" s="10"/>
      <c r="I159" s="10"/>
      <c r="J159" s="10"/>
      <c r="K159" s="10"/>
      <c r="L159" s="10"/>
      <c r="N159" s="10"/>
      <c r="O159" s="10"/>
      <c r="P159" s="10"/>
      <c r="Q159" s="10"/>
      <c r="R159" s="10"/>
      <c r="S159" s="10"/>
      <c r="T159" s="10"/>
      <c r="U159" s="10"/>
    </row>
    <row r="160" ht="15" customHeight="1" s="74">
      <c r="A160" s="15" t="inlineStr">
        <is>
          <t>Shares Outstanding</t>
        </is>
      </c>
      <c r="B160" s="84">
        <f>IFERROR(IF(OR(NOT(ISNUMBER(Data!L28)),NOT(ISNUMBER(Data!I28)),Data!I28&lt;=0),"-",(Data!L28/Data!I28)^(1/3)-1),"-")</f>
        <v>-0.01390010780665063</v>
      </c>
      <c r="C160" s="84">
        <f>IFERROR(IF(OR(NOT(ISNUMBER(Data!L28)),NOT(ISNUMBER(Data!G28)),Data!G28&lt;=0),"-",(Data!L28/Data!G28)^(1/5)-1),"-")</f>
        <v>0.00552989913810209</v>
      </c>
      <c r="D160" s="84">
        <f>IFERROR(IF(OR(NOT(ISNUMBER(Data!L28)),NOT(ISNUMBER(Data!B28)),Data!B28&lt;=0,Data!L28&lt;0),"-",(Data!L28/Data!B28)^(1/10)-1),"-")</f>
        <v>0.03748817264364135</v>
      </c>
      <c r="E160" s="10"/>
      <c r="F160" s="10"/>
      <c r="G160" s="10"/>
      <c r="H160" s="10"/>
      <c r="I160" s="10"/>
      <c r="J160" s="10"/>
      <c r="K160" s="10"/>
      <c r="L160" s="10"/>
      <c r="N160" s="10"/>
      <c r="O160" s="10"/>
      <c r="P160" s="10"/>
      <c r="Q160" s="10"/>
      <c r="R160" s="10"/>
      <c r="S160" s="10"/>
      <c r="T160" s="10"/>
      <c r="U160" s="10"/>
    </row>
    <row r="161" ht="15" customHeight="1" s="7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N161" s="2"/>
      <c r="O161" s="2"/>
      <c r="P161" s="2"/>
      <c r="Q161" s="2"/>
      <c r="R161" s="2"/>
      <c r="S161" s="2"/>
      <c r="T161" s="2"/>
      <c r="U161" s="2"/>
    </row>
    <row r="162" ht="15" customHeight="1" s="7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N162" s="2"/>
      <c r="O162" s="2"/>
      <c r="P162" s="2"/>
      <c r="Q162" s="2"/>
      <c r="R162" s="2"/>
      <c r="S162" s="2"/>
      <c r="T162" s="2"/>
      <c r="U162" s="2"/>
    </row>
    <row r="163" ht="15" customHeight="1" s="7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N163" s="2"/>
      <c r="O163" s="2"/>
      <c r="P163" s="2"/>
      <c r="Q163" s="2"/>
      <c r="R163" s="2"/>
      <c r="S163" s="2"/>
      <c r="T163" s="2"/>
      <c r="U163" s="2"/>
    </row>
    <row r="164" ht="15" customHeight="1" s="7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N164" s="2"/>
      <c r="O164" s="2"/>
      <c r="P164" s="2"/>
      <c r="Q164" s="2"/>
      <c r="R164" s="2"/>
      <c r="S164" s="2"/>
      <c r="T164" s="2"/>
      <c r="U164" s="2"/>
    </row>
    <row r="165" ht="15" customHeight="1" s="7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N165" s="2"/>
      <c r="O165" s="2"/>
      <c r="P165" s="2"/>
      <c r="Q165" s="2"/>
      <c r="R165" s="2"/>
      <c r="S165" s="2"/>
      <c r="T165" s="2"/>
      <c r="U165" s="2"/>
    </row>
    <row r="166" ht="15" customHeight="1" s="7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N166" s="2"/>
      <c r="O166" s="2"/>
      <c r="P166" s="2"/>
      <c r="Q166" s="2"/>
      <c r="R166" s="2"/>
      <c r="S166" s="2"/>
      <c r="T166" s="2"/>
      <c r="U166" s="2"/>
    </row>
    <row r="167" ht="15" customHeight="1" s="7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N167" s="2"/>
      <c r="O167" s="2"/>
      <c r="P167" s="2"/>
      <c r="Q167" s="2"/>
      <c r="R167" s="2"/>
      <c r="S167" s="2"/>
      <c r="T167" s="2"/>
      <c r="U167" s="2"/>
    </row>
    <row r="168" ht="15" customHeight="1" s="7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N168" s="2"/>
      <c r="O168" s="2"/>
      <c r="P168" s="2"/>
      <c r="Q168" s="2"/>
      <c r="R168" s="2"/>
      <c r="S168" s="2"/>
      <c r="T168" s="2"/>
      <c r="U168" s="2"/>
    </row>
    <row r="169" ht="19" customHeight="1" s="74">
      <c r="A169" s="226" t="inlineStr">
        <is>
          <t>RECONCILIATION CHECKS</t>
        </is>
      </c>
    </row>
    <row r="170" ht="15" customHeight="1" s="74">
      <c r="A170" s="235" t="inlineStr">
        <is>
          <t>Period</t>
        </is>
      </c>
      <c r="B170" s="235">
        <f>Data!B13</f>
        <v>2016.0</v>
      </c>
      <c r="C170" s="235">
        <f>Data!C13</f>
        <v>2017.0</v>
      </c>
      <c r="D170" s="235">
        <f>Data!D13</f>
        <v>2018.0</v>
      </c>
      <c r="E170" s="235">
        <f>Data!E13</f>
        <v>2019.0</v>
      </c>
      <c r="F170" s="235">
        <f>Data!F13</f>
        <v>2020.0</v>
      </c>
      <c r="G170" s="235">
        <f>Data!G13</f>
        <v>2021.0</v>
      </c>
      <c r="H170" s="235">
        <f>Data!H13</f>
        <v>2022.0</v>
      </c>
      <c r="I170" s="235">
        <f>Data!I13</f>
        <v>2023.0</v>
      </c>
      <c r="J170" s="235">
        <f>Data!J13</f>
        <v>2024.0</v>
      </c>
      <c r="K170" s="235">
        <f>Data!K13</f>
        <v>2025.0</v>
      </c>
      <c r="L170" s="235">
        <f>Data!L13</f>
        <v>2026.0</v>
      </c>
      <c r="N170" s="2"/>
      <c r="O170" s="2"/>
      <c r="P170" s="2"/>
      <c r="Q170" s="2"/>
      <c r="R170" s="2"/>
      <c r="S170" s="2"/>
      <c r="T170" s="2"/>
      <c r="U170" s="2"/>
    </row>
    <row r="171" ht="15" customHeight="1" s="74">
      <c r="A171" s="259" t="inlineStr">
        <is>
          <t>EBITDA ≠ EBIT+D&amp;A? (should be 0)</t>
        </is>
      </c>
      <c r="B171" s="274">
        <f>IFERROR(Data!B20-(Data!B22+Data!B21),"-")</f>
        <v>0.0</v>
      </c>
      <c r="C171" s="274">
        <f>IFERROR(Data!C20-(Data!C22+Data!C21),"-")</f>
        <v>0.0</v>
      </c>
      <c r="D171" s="274">
        <f>IFERROR(Data!D20-(Data!D22+Data!D21),"-")</f>
        <v>0.0</v>
      </c>
      <c r="E171" s="274">
        <f>IFERROR(Data!E20-(Data!E22+Data!E21),"-")</f>
        <v>0.0</v>
      </c>
      <c r="F171" s="274">
        <f>IFERROR(Data!F20-(Data!F22+Data!F21),"-")</f>
        <v>0.0</v>
      </c>
      <c r="G171" s="274">
        <f>IFERROR(Data!G20-(Data!G22+Data!G21),"-")</f>
        <v>0.0</v>
      </c>
      <c r="H171" s="274">
        <f>IFERROR(Data!H20-(Data!H22+Data!H21),"-")</f>
        <v>0.0</v>
      </c>
      <c r="I171" s="274">
        <f>IFERROR(Data!I20-(Data!I22+Data!I21),"-")</f>
        <v>0.0</v>
      </c>
      <c r="J171" s="274">
        <f>IFERROR(Data!J20-(Data!J22+Data!J21),"-")</f>
        <v>0.0</v>
      </c>
      <c r="K171" s="274">
        <f>IFERROR(Data!K20-(Data!K22+Data!K21),"-")</f>
        <v>0.0</v>
      </c>
      <c r="L171" s="274">
        <f>IFERROR(Data!L20-(Data!L22+Data!L21),"-")</f>
        <v>0.0</v>
      </c>
      <c r="M171" s="261"/>
      <c r="N171" s="2"/>
      <c r="O171" s="2"/>
      <c r="P171" s="2"/>
      <c r="Q171" s="2"/>
      <c r="R171" s="2"/>
      <c r="S171" s="2"/>
      <c r="T171" s="2"/>
      <c r="U171" s="2"/>
    </row>
    <row r="172" ht="15" customHeight="1" s="74">
      <c r="A172" s="263" t="inlineStr">
        <is>
          <t>NI ≠ PreTax-Tax? (non-zero = other inc/exp)</t>
        </is>
      </c>
      <c r="B172" s="276">
        <f>IFERROR(Data!B26-(Data!B24-Data!B25),"-")</f>
        <v>0.0</v>
      </c>
      <c r="C172" s="276">
        <f>IFERROR(Data!C26-(Data!C24-Data!C25),"-")</f>
        <v>0.0</v>
      </c>
      <c r="D172" s="276">
        <f>IFERROR(Data!D26-(Data!D24-Data!D25),"-")</f>
        <v>-1.4210854715202004e-14</v>
      </c>
      <c r="E172" s="276">
        <f>IFERROR(Data!E26-(Data!E24-Data!E25),"-")</f>
        <v>0.0</v>
      </c>
      <c r="F172" s="276">
        <f>IFERROR(Data!F26-(Data!F24-Data!F25),"-")</f>
        <v>0.0</v>
      </c>
      <c r="G172" s="276">
        <f>IFERROR(Data!G26-(Data!G24-Data!G25),"-")</f>
        <v>0.0</v>
      </c>
      <c r="H172" s="276">
        <f>IFERROR(Data!H26-(Data!H24-Data!H25),"-")</f>
        <v>0.0</v>
      </c>
      <c r="I172" s="276">
        <f>IFERROR(Data!I26-(Data!I24-Data!I25),"-")</f>
        <v>0.0</v>
      </c>
      <c r="J172" s="276">
        <f>IFERROR(Data!J26-(Data!J24-Data!J25),"-")</f>
        <v>0.0</v>
      </c>
      <c r="K172" s="276">
        <f>IFERROR(Data!K26-(Data!K24-Data!K25),"-")</f>
        <v>0.0</v>
      </c>
      <c r="L172" s="276">
        <f>IFERROR(Data!L26-(Data!L24-Data!L25),"-")</f>
        <v>0.0</v>
      </c>
      <c r="M172" s="261"/>
      <c r="N172" s="2"/>
      <c r="O172" s="2"/>
      <c r="P172" s="2"/>
      <c r="Q172" s="2"/>
      <c r="R172" s="2"/>
      <c r="S172" s="2"/>
      <c r="T172" s="2"/>
      <c r="U172" s="2"/>
    </row>
    <row r="173" ht="15" customHeight="1" s="74">
      <c r="A173" s="259" t="inlineStr">
        <is>
          <t>Equity = Assets - Liabilities? (should be 0)</t>
        </is>
      </c>
      <c r="B173" s="274">
        <f>IFERROR(Data!B41-(Data!B39-Data!B40),"-")</f>
        <v>5002.869</v>
      </c>
      <c r="C173" s="274">
        <f>IFERROR(Data!C41-(Data!C39-Data!C40),"-")</f>
        <v>1.8189894035458565e-12</v>
      </c>
      <c r="D173" s="274">
        <f>IFERROR(Data!D41-(Data!D39-Data!D40),"-")</f>
        <v>-3.867000000000189</v>
      </c>
      <c r="E173" s="274">
        <f>IFERROR(Data!E41-(Data!E39-Data!E40),"-")</f>
        <v>0.0</v>
      </c>
      <c r="F173" s="274">
        <f>IFERROR(Data!F41-(Data!F39-Data!F40),"-")</f>
        <v>0.0</v>
      </c>
      <c r="G173" s="274">
        <f>IFERROR(Data!G41-(Data!G39-Data!G40),"-")</f>
        <v>0.0</v>
      </c>
      <c r="H173" s="274">
        <f>IFERROR(Data!H41-(Data!H39-Data!H40),"-")</f>
        <v>0.0</v>
      </c>
      <c r="I173" s="274">
        <f>IFERROR(Data!I41-(Data!I39-Data!I40),"-")</f>
        <v>0.0</v>
      </c>
      <c r="J173" s="274">
        <f>IFERROR(Data!J41-(Data!J39-Data!J40),"-")</f>
        <v>0.0</v>
      </c>
      <c r="K173" s="274">
        <f>IFERROR(Data!K41-(Data!K39-Data!K40),"-")</f>
        <v>0.0</v>
      </c>
      <c r="L173" s="274">
        <f>IFERROR(Data!L41-(Data!L39-Data!L40),"-")</f>
        <v>0.0</v>
      </c>
      <c r="M173" s="261"/>
      <c r="N173" s="2"/>
      <c r="O173" s="2"/>
      <c r="P173" s="2"/>
      <c r="Q173" s="2"/>
      <c r="R173" s="2"/>
      <c r="S173" s="2"/>
      <c r="T173" s="2"/>
      <c r="U173" s="2"/>
    </row>
    <row r="174" ht="15" customHeight="1" s="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N174" s="2"/>
      <c r="O174" s="2"/>
      <c r="P174" s="2"/>
      <c r="Q174" s="2"/>
      <c r="R174" s="2"/>
      <c r="S174" s="2"/>
      <c r="T174" s="2"/>
      <c r="U174" s="2"/>
    </row>
    <row r="175" ht="19" customHeight="1" s="74">
      <c r="A175" s="226" t="inlineStr">
        <is>
          <t>VALUATION MULTIPLES (at period-end price)</t>
        </is>
      </c>
    </row>
    <row r="176" ht="15" customHeight="1" s="74">
      <c r="A176" s="235" t="inlineStr">
        <is>
          <t>Period</t>
        </is>
      </c>
      <c r="B176" s="235">
        <f>Data!B13</f>
        <v>2016.0</v>
      </c>
      <c r="C176" s="235">
        <f>Data!C13</f>
        <v>2017.0</v>
      </c>
      <c r="D176" s="235">
        <f>Data!D13</f>
        <v>2018.0</v>
      </c>
      <c r="E176" s="235">
        <f>Data!E13</f>
        <v>2019.0</v>
      </c>
      <c r="F176" s="235">
        <f>Data!F13</f>
        <v>2020.0</v>
      </c>
      <c r="G176" s="235">
        <f>Data!G13</f>
        <v>2021.0</v>
      </c>
      <c r="H176" s="235">
        <f>Data!H13</f>
        <v>2022.0</v>
      </c>
      <c r="I176" s="235">
        <f>Data!I13</f>
        <v>2023.0</v>
      </c>
      <c r="J176" s="235">
        <f>Data!J13</f>
        <v>2024.0</v>
      </c>
      <c r="K176" s="235">
        <f>Data!K13</f>
        <v>2025.0</v>
      </c>
      <c r="L176" s="235">
        <f>Data!L13</f>
        <v>2026.0</v>
      </c>
      <c r="N176" s="2"/>
      <c r="O176" s="2"/>
      <c r="P176" s="2"/>
      <c r="Q176" s="2"/>
      <c r="R176" s="2"/>
      <c r="S176" s="2"/>
      <c r="T176" s="2"/>
      <c r="U176" s="2"/>
    </row>
    <row r="177" ht="15" customHeight="1" s="74">
      <c r="A177" s="259" t="inlineStr">
        <is>
          <t>P/E (historical)</t>
        </is>
      </c>
      <c r="B177" s="274">
        <f>IFERROR(Data!B57/Data!B27,"-")</f>
        <v>-806.4285714285714</v>
      </c>
      <c r="C177" s="274">
        <f>IFERROR(Data!C57/Data!C27,"-")</f>
        <v>261.7692307692308</v>
      </c>
      <c r="D177" s="274">
        <f>IFERROR(Data!D57/Data!D27,"-")</f>
        <v>465.2941176470588</v>
      </c>
      <c r="E177" s="274">
        <f>IFERROR(Data!E57/Data!E27,"-")</f>
        <v>79.65734265734265</v>
      </c>
      <c r="F177" s="274">
        <f>IFERROR(Data!F57/Data!F27,"-")</f>
        <v>1013.1333333333333</v>
      </c>
      <c r="G177" s="274">
        <f>IFERROR(Data!G57/Data!G27,"-")</f>
        <v>41.62328767123288</v>
      </c>
      <c r="H177" s="274">
        <f>IFERROR(Data!H57/Data!H27,"-")</f>
        <v>152.40540540540542</v>
      </c>
      <c r="I177" s="274">
        <f>IFERROR(Data!I57/Data!I27,"-")</f>
        <v>1107.7619047619048</v>
      </c>
      <c r="J177" s="274">
        <f>IFERROR(Data!J57/Data!J27,"-")</f>
        <v>39.99285714285714</v>
      </c>
      <c r="K177" s="274">
        <f>IFERROR(Data!K57/Data!K27,"-")</f>
        <v>44.196540880503136</v>
      </c>
      <c r="L177" s="274">
        <f>IFERROR(Data!L57/Data!L27,"-")</f>
        <v>43.80769230769231</v>
      </c>
      <c r="M177" s="261"/>
      <c r="N177" s="2"/>
      <c r="O177" s="2"/>
      <c r="P177" s="2"/>
      <c r="Q177" s="2"/>
      <c r="R177" s="2"/>
      <c r="S177" s="2"/>
      <c r="T177" s="2"/>
      <c r="U177" s="2"/>
    </row>
    <row r="178" ht="15" customHeight="1" s="74">
      <c r="A178" s="263" t="inlineStr">
        <is>
          <t>P/S (historical)</t>
        </is>
      </c>
      <c r="B178" s="276">
        <f>IFERROR(Data!B57/(Data!B14/Data!B28),"-")</f>
        <v>5.602034364868334</v>
      </c>
      <c r="C178" s="276">
        <f>IFERROR(Data!C57/(Data!C14/Data!C28),"-")</f>
        <v>5.678844123153715</v>
      </c>
      <c r="D178" s="276">
        <f>IFERROR(Data!D57/(Data!D14/Data!D28),"-")</f>
        <v>5.544526265809618</v>
      </c>
      <c r="E178" s="276">
        <f>IFERROR(Data!E57/(Data!E14/Data!E28),"-")</f>
        <v>6.646608191537419</v>
      </c>
      <c r="F178" s="276">
        <f>IFERROR(Data!F57/(Data!F14/Data!F28),"-")</f>
        <v>7.554947947128318</v>
      </c>
      <c r="G178" s="276">
        <f>IFERROR(Data!G57/(Data!G14/Data!G28),"-")</f>
        <v>7.977992659514399</v>
      </c>
      <c r="H178" s="276">
        <f>IFERROR(Data!H57/(Data!H14/Data!H28),"-")</f>
        <v>8.29289747848407</v>
      </c>
      <c r="I178" s="276">
        <f>IFERROR(Data!I57/(Data!I14/Data!I28),"-")</f>
        <v>7.397681487624394</v>
      </c>
      <c r="J178" s="276">
        <f>IFERROR(Data!J57/(Data!J14/Data!J28),"-")</f>
        <v>4.741729925122645</v>
      </c>
      <c r="K178" s="276">
        <f>IFERROR(Data!K57/(Data!K14/Data!K28),"-")</f>
        <v>7.224743633724764</v>
      </c>
      <c r="L178" s="276">
        <f>IFERROR(Data!L57/(Data!L14/Data!L28),"-")</f>
        <v>7.866711619506321</v>
      </c>
      <c r="M178" s="261"/>
      <c r="N178" s="2"/>
      <c r="O178" s="2"/>
      <c r="P178" s="2"/>
      <c r="Q178" s="2"/>
      <c r="R178" s="2"/>
      <c r="S178" s="2"/>
      <c r="T178" s="2"/>
      <c r="U178" s="2"/>
    </row>
    <row r="179" ht="15" customHeight="1" s="74">
      <c r="A179" s="259" t="inlineStr">
        <is>
          <t>P/B (historical)</t>
        </is>
      </c>
      <c r="B179" s="274">
        <f>IFERROR(Data!B57/(Data!B41/Data!B28),"-")</f>
        <v>7.465710805140012</v>
      </c>
      <c r="C179" s="274">
        <f>IFERROR(Data!C57/(Data!C41/Data!C28),"-")</f>
        <v>6.354128272761248</v>
      </c>
      <c r="D179" s="274">
        <f>IFERROR(Data!D57/(Data!D41/Data!D28),"-")</f>
        <v>6.189138473297533</v>
      </c>
      <c r="E179" s="274">
        <f>IFERROR(Data!E57/(Data!E41/Data!E28),"-")</f>
        <v>5.657177186799102</v>
      </c>
      <c r="F179" s="274">
        <f>IFERROR(Data!F57/(Data!F41/Data!F28),"-")</f>
        <v>3.8121440165264864</v>
      </c>
      <c r="G179" s="274">
        <f>IFERROR(Data!G57/(Data!G41/Data!G28),"-")</f>
        <v>4.086190441761261</v>
      </c>
      <c r="H179" s="274">
        <f>IFERROR(Data!H57/(Data!H41/Data!H28),"-")</f>
        <v>3.779316371643357</v>
      </c>
      <c r="I179" s="274">
        <f>IFERROR(Data!I57/(Data!I41/Data!I28),"-")</f>
        <v>3.9742303672098562</v>
      </c>
      <c r="J179" s="274">
        <f>IFERROR(Data!J57/(Data!J41/Data!J28),"-")</f>
        <v>2.7710572377024443</v>
      </c>
      <c r="K179" s="274">
        <f>IFERROR(Data!K57/(Data!K41/Data!K28),"-")</f>
        <v>4.475531034933712</v>
      </c>
      <c r="L179" s="274">
        <f>IFERROR(Data!L57/(Data!L41/Data!L28),"-")</f>
        <v>5.523404687024449</v>
      </c>
      <c r="M179" s="261"/>
      <c r="N179" s="2"/>
      <c r="O179" s="2"/>
      <c r="P179" s="2"/>
      <c r="Q179" s="2"/>
      <c r="R179" s="2"/>
      <c r="S179" s="2"/>
      <c r="T179" s="2"/>
      <c r="U179" s="2"/>
    </row>
    <row r="180">
      <c r="A180" s="263" t="inlineStr">
        <is>
          <t>P/FCF (historical)</t>
        </is>
      </c>
      <c r="B180" s="276">
        <f>IFERROR(Data!B57/(Data!B53/Data!B28),"-")</f>
        <v>26.916862615802053</v>
      </c>
      <c r="C180" s="276">
        <f>IFERROR(Data!C57/(Data!C53/Data!C28),"-")</f>
        <v>28.06244642688902</v>
      </c>
      <c r="D180" s="276">
        <f>IFERROR(Data!D57/(Data!D53/Data!D28),"-")</f>
        <v>26.364943932179575</v>
      </c>
      <c r="E180" s="276">
        <f>IFERROR(Data!E57/(Data!E53/Data!E28),"-")</f>
        <v>31.494916161255798</v>
      </c>
      <c r="F180" s="276">
        <f>IFERROR(Data!F57/(Data!F53/Data!F28),"-")</f>
        <v>35.025623644251624</v>
      </c>
      <c r="G180" s="276">
        <f>IFERROR(Data!G57/(Data!G53/Data!G28),"-")</f>
        <v>41.444219017355174</v>
      </c>
      <c r="H180" s="276">
        <f>IFERROR(Data!H57/(Data!H53/Data!H28),"-")</f>
        <v>41.58535680484573</v>
      </c>
      <c r="I180" s="276">
        <f>IFERROR(Data!I57/(Data!I53/Data!I28),"-")</f>
        <v>36.73881039125614</v>
      </c>
      <c r="J180" s="276">
        <f>IFERROR(Data!J57/(Data!J53/Data!J28),"-")</f>
        <v>17.401819330385344</v>
      </c>
      <c r="K180" s="276">
        <f>IFERROR(Data!K57/(Data!K53/Data!K28),"-")</f>
        <v>22.018792021875498</v>
      </c>
      <c r="L180" s="276">
        <f>IFERROR(Data!L57/(Data!L53/Data!L28),"-")</f>
        <v>22.681933064852103</v>
      </c>
      <c r="M180" s="261"/>
      <c r="N180" s="2"/>
      <c r="O180" s="2"/>
      <c r="P180" s="2"/>
      <c r="Q180" s="2"/>
      <c r="R180" s="2"/>
      <c r="S180" s="2"/>
      <c r="T180" s="2"/>
      <c r="U180" s="2"/>
    </row>
    <row r="181">
      <c r="A181" s="259" t="inlineStr">
        <is>
          <t>EV/EBITDA (historical)</t>
        </is>
      </c>
      <c r="B181" s="274">
        <f>IFERROR((Data!B57*Data!B28+Data!B36+Data!B42)/Data!B20,"-")</f>
        <v>58.298029025727644</v>
      </c>
      <c r="C181" s="274">
        <f>IFERROR((Data!C57*Data!C28+Data!C36+Data!C42)/Data!C20,"-")</f>
        <v>69.00283430944201</v>
      </c>
      <c r="D181" s="274">
        <f>IFERROR((Data!D57*Data!D28+Data!D36+Data!D42)/Data!D20,"-")</f>
        <v>57.95687011315623</v>
      </c>
      <c r="E181" s="274">
        <f>IFERROR((Data!E57*Data!E28+Data!E36+Data!E42)/Data!E20,"-")</f>
        <v>58.19255177020708</v>
      </c>
      <c r="F181" s="274">
        <f>IFERROR((Data!F57*Data!F28+Data!F36+Data!F42)/Data!F20,"-")</f>
        <v>50.9475740131579</v>
      </c>
      <c r="G181" s="274">
        <f>IFERROR((Data!G57*Data!G28+Data!G36+Data!G42)/Data!G20,"-")</f>
        <v>48.54871251136019</v>
      </c>
      <c r="H181" s="274">
        <f>IFERROR((Data!H57*Data!H28+Data!H36+Data!H42)/Data!H20,"-")</f>
        <v>57.138439937597504</v>
      </c>
      <c r="I181" s="274">
        <f>IFERROR((Data!I57*Data!I28+Data!I36+Data!I42)/Data!I20,"-")</f>
        <v>47.76268895348837</v>
      </c>
      <c r="J181" s="274">
        <f>IFERROR((Data!J57*Data!J28+Data!J36+Data!J42)/Data!J20,"-")</f>
        <v>17.894590858416947</v>
      </c>
      <c r="K181" s="274">
        <f>IFERROR((Data!K57*Data!K28+Data!K36+Data!K42)/Data!K20,"-")</f>
        <v>25.106034450477438</v>
      </c>
      <c r="L181" s="274">
        <f>IFERROR((Data!L57*Data!L28+Data!L36+Data!L42)/Data!L20,"-")</f>
        <v>27.716034108008696</v>
      </c>
      <c r="M181" s="261"/>
      <c r="N181" s="2"/>
      <c r="O181" s="2"/>
      <c r="P181" s="2"/>
      <c r="Q181" s="2"/>
      <c r="R181" s="2"/>
      <c r="S181" s="2"/>
      <c r="T181" s="2"/>
      <c r="U181" s="2"/>
    </row>
    <row r="182" ht="15" customHeight="1" s="74">
      <c r="A182" s="263" t="inlineStr">
        <is>
          <t>EV/EBIT (historical)</t>
        </is>
      </c>
      <c r="B182" s="276">
        <f>IFERROR((Data!B57*Data!B28+Data!B36+Data!B42)/Data!B22,"-")</f>
        <v>324.99998390226506</v>
      </c>
      <c r="C182" s="276">
        <f>IFERROR((Data!C57*Data!C28+Data!C36+Data!C42)/Data!C22,"-")</f>
        <v>748.250156006726</v>
      </c>
      <c r="D182" s="276">
        <f>IFERROR((Data!D57*Data!D28+Data!D36+Data!D42)/Data!D22,"-")</f>
        <v>242.96221624647958</v>
      </c>
      <c r="E182" s="276">
        <f>IFERROR((Data!E57*Data!E28+Data!E36+Data!E42)/Data!E22,"-")</f>
        <v>162.8303738317757</v>
      </c>
      <c r="F182" s="276">
        <f>IFERROR((Data!F57*Data!F28+Data!F36+Data!F42)/Data!F22,"-")</f>
        <v>417.1868686868687</v>
      </c>
      <c r="G182" s="276">
        <f>IFERROR((Data!G57*Data!G28+Data!G36+Data!G42)/Data!G22,"-")</f>
        <v>352.21824175824173</v>
      </c>
      <c r="H182" s="276">
        <f>IFERROR((Data!H57*Data!H28+Data!H36+Data!H42)/Data!H22,"-")</f>
        <v>401.0117518248175</v>
      </c>
      <c r="I182" s="276">
        <f>IFERROR((Data!I57*Data!I28+Data!I36+Data!I42)/Data!I22,"-")</f>
        <v>223.3253495145631</v>
      </c>
      <c r="J182" s="276">
        <f>IFERROR((Data!J57*Data!J28+Data!J36+Data!J42)/Data!J22,"-")</f>
        <v>32.032424665735384</v>
      </c>
      <c r="K182" s="276">
        <f>IFERROR((Data!K57*Data!K28+Data!K36+Data!K42)/Data!K22,"-")</f>
        <v>37.22174323386537</v>
      </c>
      <c r="L182" s="276">
        <f>IFERROR((Data!L57*Data!L28+Data!L36+Data!L42)/Data!L22,"-")</f>
        <v>39.7958468371144</v>
      </c>
      <c r="M182" s="261"/>
      <c r="N182" s="2"/>
      <c r="O182" s="2"/>
      <c r="P182" s="2"/>
      <c r="Q182" s="2"/>
      <c r="R182" s="2"/>
      <c r="S182" s="2"/>
      <c r="T182" s="2"/>
      <c r="U182" s="2"/>
    </row>
    <row r="183" ht="15" customHeight="1" s="74">
      <c r="A183" s="259" t="inlineStr">
        <is>
          <t>FCF Yield (historical)</t>
        </is>
      </c>
      <c r="B183" s="274">
        <f>IFERROR((Data!B53/Data!B28)/Data!B57,"-")</f>
        <v>0.03715143232974452</v>
      </c>
      <c r="C183" s="274">
        <f>IFERROR((Data!C53/Data!C28)/Data!C57,"-")</f>
        <v>0.0356348119044181</v>
      </c>
      <c r="D183" s="274">
        <f>IFERROR((Data!D53/Data!D28)/Data!D57,"-")</f>
        <v>0.03792915329432792</v>
      </c>
      <c r="E183" s="274">
        <f>IFERROR((Data!E53/Data!E28)/Data!E57,"-")</f>
        <v>0.03175115611929055</v>
      </c>
      <c r="F183" s="274">
        <f>IFERROR((Data!F53/Data!F28)/Data!F57,"-")</f>
        <v>0.02855052661322475</v>
      </c>
      <c r="G183" s="274">
        <f>IFERROR((Data!G53/Data!G28)/Data!G57,"-")</f>
        <v>0.024128817569978582</v>
      </c>
      <c r="H183" s="274">
        <f>IFERROR((Data!H53/Data!H28)/Data!H57,"-")</f>
        <v>0.024046926053631335</v>
      </c>
      <c r="I183" s="274">
        <f>IFERROR((Data!I53/Data!I28)/Data!I57,"-")</f>
        <v>0.027219172024089293</v>
      </c>
      <c r="J183" s="274">
        <f>IFERROR((Data!J53/Data!J28)/Data!J57,"-")</f>
        <v>0.05746525584562865</v>
      </c>
      <c r="K183" s="274">
        <f>IFERROR((Data!K53/Data!K28)/Data!K57,"-")</f>
        <v>0.04541575209968411</v>
      </c>
      <c r="L183" s="274">
        <f>IFERROR((Data!L53/Data!L28)/Data!L57,"-")</f>
        <v>0.04408795304795246</v>
      </c>
      <c r="M183" s="261"/>
      <c r="N183" s="2"/>
      <c r="O183" s="2"/>
      <c r="P183" s="2"/>
      <c r="Q183" s="2"/>
      <c r="R183" s="2"/>
      <c r="S183" s="2"/>
      <c r="T183" s="2"/>
      <c r="U183" s="2"/>
    </row>
    <row r="184" ht="15" customHeight="1" s="74">
      <c r="A184" s="263" t="inlineStr">
        <is>
          <t>Earnings Yield (historical)</t>
        </is>
      </c>
      <c r="B184" s="276">
        <f>IFERROR(Data!B27/Data!B57,"-")</f>
        <v>-0.0012400354295837024</v>
      </c>
      <c r="C184" s="276">
        <f>IFERROR(Data!C27/Data!C57,"-")</f>
        <v>0.003820158683514546</v>
      </c>
      <c r="D184" s="276">
        <f>IFERROR(Data!D27/Data!D57,"-")</f>
        <v>0.0021491782553729457</v>
      </c>
      <c r="E184" s="276">
        <f>IFERROR(Data!E27/Data!E57,"-")</f>
        <v>0.012553770520586427</v>
      </c>
      <c r="F184" s="276">
        <f>IFERROR(Data!F27/Data!F57,"-")</f>
        <v>0.0009870369151806276</v>
      </c>
      <c r="G184" s="276">
        <f>IFERROR(Data!G27/Data!G57,"-")</f>
        <v>0.02402501234161593</v>
      </c>
      <c r="H184" s="276">
        <f>IFERROR(Data!H27/Data!H57,"-")</f>
        <v>0.006561447065082461</v>
      </c>
      <c r="I184" s="276">
        <f>IFERROR(Data!I27/Data!I57,"-")</f>
        <v>0.0009027210591927094</v>
      </c>
      <c r="J184" s="276">
        <f>IFERROR(Data!J27/Data!J57,"-")</f>
        <v>0.025004465083050546</v>
      </c>
      <c r="K184" s="276">
        <f>IFERROR(Data!K27/Data!K57,"-")</f>
        <v>0.022626205130029532</v>
      </c>
      <c r="L184" s="276">
        <f>IFERROR(Data!L27/Data!L57,"-")</f>
        <v>0.0228270412642669</v>
      </c>
      <c r="M184" s="261"/>
      <c r="N184" s="2"/>
      <c r="O184" s="2"/>
      <c r="P184" s="2"/>
      <c r="Q184" s="2"/>
      <c r="R184" s="2"/>
      <c r="S184" s="2"/>
      <c r="T184" s="2"/>
      <c r="U184" s="2"/>
    </row>
    <row r="185" ht="15" customHeight="1" s="74">
      <c r="A185" s="259" t="inlineStr">
        <is>
          <t>Dividend Yield (historical)</t>
        </is>
      </c>
      <c r="B185" s="274">
        <f>IFERROR((ABS(Data!B55)/Data!B28)/Data!B57,"-")</f>
        <v>0.0</v>
      </c>
      <c r="C185" s="274">
        <f>IFERROR((ABS(Data!C55)/Data!C28)/Data!C57,"-")</f>
        <v>0.0</v>
      </c>
      <c r="D185" s="274">
        <f>IFERROR((ABS(Data!D55)/Data!D28)/Data!D57,"-")</f>
        <v>0.0</v>
      </c>
      <c r="E185" s="274">
        <f>IFERROR((ABS(Data!E55)/Data!E28)/Data!E57,"-")</f>
        <v>0.0</v>
      </c>
      <c r="F185" s="274">
        <f>IFERROR((ABS(Data!F55)/Data!F28)/Data!F57,"-")</f>
        <v>0.0</v>
      </c>
      <c r="G185" s="274">
        <f>IFERROR((ABS(Data!G55)/Data!G28)/Data!G57,"-")</f>
        <v>0.0</v>
      </c>
      <c r="H185" s="274">
        <f>IFERROR((ABS(Data!H55)/Data!H28)/Data!H57,"-")</f>
        <v>0.0</v>
      </c>
      <c r="I185" s="274">
        <f>IFERROR((ABS(Data!I55)/Data!I28)/Data!I57,"-")</f>
        <v>0.0</v>
      </c>
      <c r="J185" s="274">
        <f>IFERROR((ABS(Data!J55)/Data!J28)/Data!J57,"-")</f>
        <v>0.0</v>
      </c>
      <c r="K185" s="274">
        <f>IFERROR((ABS(Data!K55)/Data!K28)/Data!K57,"-")</f>
        <v>0.005613962600708901</v>
      </c>
      <c r="L185" s="274">
        <f>IFERROR((ABS(Data!L55)/Data!L28)/Data!L57,"-")</f>
        <v>0.0048581850775656545</v>
      </c>
      <c r="M185" s="261"/>
      <c r="N185" s="2"/>
      <c r="O185" s="2"/>
      <c r="P185" s="2"/>
      <c r="Q185" s="2"/>
      <c r="R185" s="2"/>
      <c r="S185" s="2"/>
      <c r="T185" s="2"/>
      <c r="U185" s="2"/>
    </row>
    <row r="186" ht="15" customHeight="1" s="74"/>
    <row r="187" ht="15" customHeight="1" s="74"/>
    <row r="188" ht="19" customHeight="1" s="74">
      <c r="A188" s="226" t="inlineStr">
        <is>
          <t>VALUE CREATION (ROIC vs WACC)</t>
        </is>
      </c>
    </row>
    <row r="189" ht="15" customHeight="1" s="74">
      <c r="A189" s="259" t="inlineStr">
        <is>
          <t>Economic Spread (ROIC − WACC)</t>
        </is>
      </c>
      <c r="B189" s="274">
        <f>IFERROR(IF(ISNUMBER(Metrics!B14),Metrics!B14-Valuation!$B$15,"-"),"-")</f>
        <v>-0.1133345661569805</v>
      </c>
      <c r="C189" s="274">
        <f>IFERROR(IF(ISNUMBER(Metrics!C14),Metrics!C14-Valuation!$B$15,"-"),"-")</f>
        <v>-0.03375777316343858</v>
      </c>
      <c r="D189" s="274">
        <f>IFERROR(IF(ISNUMBER(Metrics!D14),Metrics!D14-Valuation!$B$15,"-"),"-")</f>
        <v>-0.07321722376349703</v>
      </c>
      <c r="E189" s="274">
        <f>IFERROR(IF(ISNUMBER(Metrics!E14),Metrics!E14-Valuation!$B$15,"-"),"-")</f>
        <v>-0.03875506234236628</v>
      </c>
      <c r="F189" s="274">
        <f>IFERROR(IF(ISNUMBER(Metrics!F14),Metrics!F14-Valuation!$B$15,"-"),"-")</f>
        <v>-0.08881693652411717</v>
      </c>
      <c r="G189" s="274">
        <f>IFERROR(IF(ISNUMBER(Metrics!G14),Metrics!G14-Valuation!$B$15,"-"),"-")</f>
        <v>-0.0674889028145704</v>
      </c>
      <c r="H189" s="274">
        <f>IFERROR(IF(ISNUMBER(Metrics!H14),Metrics!H14-Valuation!$B$15,"-"),"-")</f>
        <v>-0.07985098348775496</v>
      </c>
      <c r="I189" s="274">
        <f>IFERROR(IF(ISNUMBER(Metrics!I14),Metrics!I14-Valuation!$B$15,"-"),"-")</f>
        <v>-0.08561627234165645</v>
      </c>
      <c r="J189" s="274">
        <f>IFERROR(IF(ISNUMBER(Metrics!J14),Metrics!J14-Valuation!$B$15,"-"),"-")</f>
        <v>-0.0160619621561279</v>
      </c>
      <c r="K189" s="274">
        <f>IFERROR(IF(ISNUMBER(Metrics!K14),Metrics!K14-Valuation!$B$15,"-"),"-")</f>
        <v>0.01741731553843584</v>
      </c>
      <c r="L189" s="274">
        <f>IFERROR(IF(ISNUMBER(Metrics!L14),Metrics!L14-Valuation!$B$15,"-"),"-")</f>
        <v>0.017854621461160264</v>
      </c>
      <c r="M189" s="261"/>
    </row>
    <row r="190" ht="15" customHeight="1" s="74">
      <c r="A190" s="263" t="inlineStr">
        <is>
          <t>Invested Capital ($M)</t>
        </is>
      </c>
      <c r="B190" s="276">
        <f>IFERROR(IF(OR(NOT(ISNUMBER(Data!B41)),NOT(ISNUMBER(Data!B35)),NOT(ISNUMBER(Data!B32))),"-",(Data!B41+Data!B35-Data!B32)),"-")</f>
      </c>
      <c r="C190" s="276">
        <f>IFERROR(IF(OR(NOT(ISNUMBER(Data!C41)),NOT(ISNUMBER(Data!C35)),NOT(ISNUMBER(Data!C32))),"-",(Data!C41+Data!C35-Data!C32)),"-")</f>
        <v>7901.969</v>
      </c>
      <c r="D190" s="276">
        <f>IFERROR(IF(OR(NOT(ISNUMBER(Data!D41)),NOT(ISNUMBER(Data!D35)),NOT(ISNUMBER(Data!D32))),"-",(Data!D41+Data!D35-Data!D32)),"-")</f>
        <v>8564.509999999998</v>
      </c>
      <c r="E190" s="276">
        <f>IFERROR(IF(OR(NOT(ISNUMBER(Data!E41)),NOT(ISNUMBER(Data!E35)),NOT(ISNUMBER(Data!E32))),"-",(Data!E41+Data!E35-Data!E32)),"-")</f>
        <v>14439.0</v>
      </c>
      <c r="F190" s="276">
        <f>IFERROR(IF(OR(NOT(ISNUMBER(Data!F41)),NOT(ISNUMBER(Data!F35)),NOT(ISNUMBER(Data!F32))),"-",(Data!F41+Data!F35-Data!F32)),"-")</f>
        <v>28615.0</v>
      </c>
      <c r="G190" s="276">
        <f>IFERROR(IF(OR(NOT(ISNUMBER(Data!G41)),NOT(ISNUMBER(Data!G35)),NOT(ISNUMBER(Data!G32))),"-",(Data!G41+Data!G35-Data!G32)),"-")</f>
        <v>32204.0</v>
      </c>
      <c r="H190" s="276">
        <f>IFERROR(IF(OR(NOT(ISNUMBER(Data!H41)),NOT(ISNUMBER(Data!H35)),NOT(ISNUMBER(Data!H32))),"-",(Data!H41+Data!H35-Data!H32)),"-")</f>
        <v>58190.0</v>
      </c>
      <c r="I190" s="276">
        <f>IFERROR(IF(OR(NOT(ISNUMBER(Data!I41)),NOT(ISNUMBER(Data!I35)),NOT(ISNUMBER(Data!I32))),"-",(Data!I41+Data!I35-Data!I32)),"-")</f>
        <v>56452.0</v>
      </c>
      <c r="J190" s="276">
        <f>IFERROR(IF(OR(NOT(ISNUMBER(Data!J41)),NOT(ISNUMBER(Data!J35)),NOT(ISNUMBER(Data!J32))),"-",(Data!J41+Data!J35-Data!J32)),"-")</f>
        <v>54878.0</v>
      </c>
      <c r="K190" s="276">
        <f>IFERROR(IF(OR(NOT(ISNUMBER(Data!K41)),NOT(ISNUMBER(Data!K35)),NOT(ISNUMBER(Data!K32))),"-",(Data!K41+Data!K35-Data!K32)),"-")</f>
        <v>55574.0</v>
      </c>
      <c r="L190" s="276">
        <f>IFERROR(IF(OR(NOT(ISNUMBER(Data!L41)),NOT(ISNUMBER(Data!L35)),NOT(ISNUMBER(Data!L32))),"-",(Data!L41+Data!L35-Data!L32)),"-")</f>
        <v>64016.0</v>
      </c>
      <c r="M190" s="261"/>
    </row>
    <row r="191" ht="15" customHeight="1" s="74">
      <c r="A191" s="259" t="inlineStr">
        <is>
          <t>Economic Profit / EVA ($M)</t>
        </is>
      </c>
      <c r="B191" s="274">
        <f>IFERROR(IF(ISNUMBER(Metrics!B14),(Metrics!B14-Valuation!$B$15)*(Data!B41+Data!B35-Data!B32),"-"),"-")</f>
        <v>-435.7154195979084</v>
      </c>
      <c r="C191" s="274">
        <f>IFERROR(IF(ISNUMBER(Metrics!C14),(Metrics!C14-Valuation!$B$15)*(Data!C41+Data!C35-Data!C32),"-"),"-")</f>
        <v>-266.7528770465236</v>
      </c>
      <c r="D191" s="274">
        <f>IFERROR(IF(ISNUMBER(Metrics!D14),(Metrics!D14-Valuation!$B$15)*(Data!D41+Data!D35-Data!D32),"-"),"-")</f>
        <v>-627.0696450947078</v>
      </c>
      <c r="E191" s="274">
        <f>IFERROR(IF(ISNUMBER(Metrics!E14),(Metrics!E14-Valuation!$B$15)*(Data!E41+Data!E35-Data!E32),"-"),"-")</f>
        <v>-559.5843451614268</v>
      </c>
      <c r="F191" s="274">
        <f>IFERROR(IF(ISNUMBER(Metrics!F14),(Metrics!F14-Valuation!$B$15)*(Data!F41+Data!F35-Data!F32),"-"),"-")</f>
        <v>-2541.4966386376127</v>
      </c>
      <c r="G191" s="274">
        <f>IFERROR(IF(ISNUMBER(Metrics!G14),(Metrics!G14-Valuation!$B$15)*(Data!G41+Data!G35-Data!G32),"-"),"-")</f>
        <v>-2173.412626240425</v>
      </c>
      <c r="H191" s="274">
        <f>IFERROR(IF(ISNUMBER(Metrics!H14),(Metrics!H14-Valuation!$B$15)*(Data!H41+Data!H35-Data!H32),"-"),"-")</f>
        <v>-4646.528729152461</v>
      </c>
      <c r="I191" s="274">
        <f>IFERROR(IF(ISNUMBER(Metrics!I14),(Metrics!I14-Valuation!$B$15)*(Data!I41+Data!I35-Data!I32),"-"),"-")</f>
        <v>-4833.20980623119</v>
      </c>
      <c r="J191" s="274">
        <f>IFERROR(IF(ISNUMBER(Metrics!J14),(Metrics!J14-Valuation!$B$15)*(Data!J41+Data!J35-Data!J32),"-"),"-")</f>
        <v>-881.448359203987</v>
      </c>
      <c r="K191" s="274">
        <f>IFERROR(IF(ISNUMBER(Metrics!K14),(Metrics!K14-Valuation!$B$15)*(Data!K41+Data!K35-Data!K32),"-"),"-")</f>
        <v>967.9498937330334</v>
      </c>
      <c r="L191" s="274">
        <f>IFERROR(IF(ISNUMBER(Metrics!L14),(Metrics!L14-Valuation!$B$15)*(Data!L41+Data!L35-Data!L32),"-"),"-")</f>
        <v>1142.9814474576353</v>
      </c>
      <c r="M191" s="261"/>
    </row>
    <row r="192" ht="19" customHeight="1" s="74">
      <c r="A192" s="226" t="inlineStr">
        <is>
          <t>EARNINGS QUALITY</t>
        </is>
      </c>
    </row>
    <row r="193">
      <c r="A193" s="259" t="inlineStr">
        <is>
          <t>Accruals Ratio ((NI−OCF)/Assets)</t>
        </is>
      </c>
      <c r="B193" s="274">
        <f>IFERROR(IF(OR(NOT(ISNUMBER(Data!B26)),NOT(ISNUMBER(Data!B51)),NOT(ISNUMBER(Data!B39))),"-",(Data!B26-Data!B51)/Data!B39),"-")</f>
      </c>
      <c r="C193" s="274">
        <f>IFERROR(IF(OR(NOT(ISNUMBER(Data!C26)),NOT(ISNUMBER(Data!C51)),NOT(ISNUMBER(Data!C39))),"-",(Data!C26-Data!C51)/Data!C39),"-")</f>
        <v>-0.11274237595467435</v>
      </c>
      <c r="D193" s="274">
        <f>IFERROR(IF(OR(NOT(ISNUMBER(Data!D26)),NOT(ISNUMBER(Data!D51)),NOT(ISNUMBER(Data!D39))),"-",(Data!D26-Data!D51)/Data!D39),"-")</f>
        <v>-0.12425090917087177</v>
      </c>
      <c r="E193" s="274">
        <f>IFERROR(IF(OR(NOT(ISNUMBER(Data!E26)),NOT(ISNUMBER(Data!E51)),NOT(ISNUMBER(Data!E39))),"-",(Data!E26-Data!E51)/Data!E39),"-")</f>
        <v>-0.07443797377753196</v>
      </c>
      <c r="F193" s="274">
        <f>IFERROR(IF(OR(NOT(ISNUMBER(Data!F26)),NOT(ISNUMBER(Data!F51)),NOT(ISNUMBER(Data!F39))),"-",(Data!F26-Data!F51)/Data!F39),"-")</f>
        <v>-0.07627979537786163</v>
      </c>
      <c r="G193" s="274">
        <f>IFERROR(IF(OR(NOT(ISNUMBER(Data!G26)),NOT(ISNUMBER(Data!G51)),NOT(ISNUMBER(Data!G39))),"-",(Data!G26-Data!G51)/Data!G39),"-")</f>
        <v>-0.010995309271353374</v>
      </c>
      <c r="H193" s="274">
        <f>IFERROR(IF(OR(NOT(ISNUMBER(Data!H26)),NOT(ISNUMBER(Data!H51)),NOT(ISNUMBER(Data!H39))),"-",(Data!H26-Data!H51)/Data!H39),"-")</f>
        <v>-0.04785261897509689</v>
      </c>
      <c r="I193" s="274">
        <f>IFERROR(IF(OR(NOT(ISNUMBER(Data!I26)),NOT(ISNUMBER(Data!I51)),NOT(ISNUMBER(Data!I39))),"-",(Data!I26-Data!I51)/Data!I39),"-")</f>
        <v>-0.06983378688707018</v>
      </c>
      <c r="J193" s="274">
        <f>IFERROR(IF(OR(NOT(ISNUMBER(Data!J26)),NOT(ISNUMBER(Data!J51)),NOT(ISNUMBER(Data!J39))),"-",(Data!J26-Data!J51)/Data!J39),"-")</f>
        <v>-0.06108812598298989</v>
      </c>
      <c r="K193" s="274">
        <f>IFERROR(IF(OR(NOT(ISNUMBER(Data!K26)),NOT(ISNUMBER(Data!K51)),NOT(ISNUMBER(Data!K39))),"-",(Data!K26-Data!K51)/Data!K39),"-")</f>
        <v>-0.0669885745375408</v>
      </c>
      <c r="L193" s="274">
        <f>IFERROR(IF(OR(NOT(ISNUMBER(Data!L26)),NOT(ISNUMBER(Data!L51)),NOT(ISNUMBER(Data!L39))),"-",(Data!L26-Data!L51)/Data!L39),"-")</f>
        <v>-0.06712969146520635</v>
      </c>
      <c r="M193" s="261"/>
    </row>
    <row r="194">
      <c r="A194" s="263" t="inlineStr">
        <is>
          <t>Cash Conversion (OCF / NI)</t>
        </is>
      </c>
      <c r="B194" s="276">
        <f>IFERROR(IF(OR(NOT(ISNUMBER(Data!B51)),NOT(ISNUMBER(Data!B26))),"-",Data!B51/Data!B26),"-")</f>
        <v>-35.25663138362923</v>
      </c>
      <c r="C194" s="276">
        <f>IFERROR(IF(OR(NOT(ISNUMBER(Data!C51)),NOT(ISNUMBER(Data!C26))),"-",Data!C51/Data!C26),"-")</f>
        <v>12.03681972031709</v>
      </c>
      <c r="D194" s="276">
        <f>IFERROR(IF(OR(NOT(ISNUMBER(Data!D51)),NOT(ISNUMBER(Data!D26))),"-",Data!D51/Data!D26),"-")</f>
        <v>21.47794129183075</v>
      </c>
      <c r="E194" s="276">
        <f>IFERROR(IF(OR(NOT(ISNUMBER(Data!E51)),NOT(ISNUMBER(Data!E26))),"-",Data!E51/Data!E26),"-")</f>
        <v>3.061261261261261</v>
      </c>
      <c r="F194" s="276">
        <f>IFERROR(IF(OR(NOT(ISNUMBER(Data!F51)),NOT(ISNUMBER(Data!F26))),"-",Data!F51/Data!F26),"-")</f>
        <v>34.37301587301587</v>
      </c>
      <c r="G194" s="276">
        <f>IFERROR(IF(OR(NOT(ISNUMBER(Data!G51)),NOT(ISNUMBER(Data!G26))),"-",Data!G51/Data!G26),"-")</f>
        <v>1.1790275049115913</v>
      </c>
      <c r="H194" s="276">
        <f>IFERROR(IF(OR(NOT(ISNUMBER(Data!H51)),NOT(ISNUMBER(Data!H26))),"-",Data!H51/Data!H26),"-")</f>
        <v>4.1551246537396125</v>
      </c>
      <c r="I194" s="276">
        <f>IFERROR(IF(OR(NOT(ISNUMBER(Data!I51)),NOT(ISNUMBER(Data!I26))),"-",Data!I51/Data!I26),"-")</f>
        <v>34.1875</v>
      </c>
      <c r="J194" s="276">
        <f>IFERROR(IF(OR(NOT(ISNUMBER(Data!J51)),NOT(ISNUMBER(Data!J26))),"-",Data!J51/Data!J26),"-")</f>
        <v>2.4743713733075436</v>
      </c>
      <c r="K194" s="276">
        <f>IFERROR(IF(OR(NOT(ISNUMBER(Data!K51)),NOT(ISNUMBER(Data!K26))),"-",Data!K51/Data!K26),"-")</f>
        <v>2.112635146038406</v>
      </c>
      <c r="L194" s="276">
        <f>IFERROR(IF(OR(NOT(ISNUMBER(Data!L51)),NOT(ISNUMBER(Data!L26))),"-",Data!L51/Data!L26),"-")</f>
        <v>2.0109963792409817</v>
      </c>
      <c r="M194" s="261"/>
    </row>
    <row r="195" ht="19" customHeight="1" s="74">
      <c r="A195" s="226" t="inlineStr">
        <is>
          <t>NORMALIZED / ADJUSTED EARNINGS  (blue = analyst input)</t>
        </is>
      </c>
    </row>
    <row r="196">
      <c r="A196" s="259" t="inlineStr">
        <is>
          <t>Non-recurring items, pre-tax ($M)</t>
        </is>
      </c>
      <c r="B196" s="274" t="n">
        <v>0</v>
      </c>
      <c r="C196" s="274" t="n">
        <v>0</v>
      </c>
      <c r="D196" s="274" t="n">
        <v>0</v>
      </c>
      <c r="E196" s="274" t="n">
        <v>0</v>
      </c>
      <c r="F196" s="274" t="n">
        <v>0</v>
      </c>
      <c r="G196" s="274" t="n">
        <v>0</v>
      </c>
      <c r="H196" s="274" t="n">
        <v>0</v>
      </c>
      <c r="I196" s="274" t="n">
        <v>0</v>
      </c>
      <c r="J196" s="274" t="n">
        <v>0</v>
      </c>
      <c r="K196" s="274" t="n">
        <v>0</v>
      </c>
      <c r="L196" s="274" t="n">
        <v>0</v>
      </c>
      <c r="M196" s="261"/>
    </row>
    <row r="197">
      <c r="A197" s="263" t="inlineStr">
        <is>
          <t>Normalized EBIT</t>
        </is>
      </c>
      <c r="B197" s="276">
        <f>IFERROR(IF(ISNUMBER(Data!B22),Data!B22+Metrics!B196,"-"),"-")</f>
        <v>114.923</v>
      </c>
      <c r="C197" s="276">
        <f>IFERROR(IF(ISNUMBER(Data!C22),Data!C22+Metrics!C196,"-"),"-")</f>
        <v>64.228</v>
      </c>
      <c r="D197" s="276">
        <f>IFERROR(IF(ISNUMBER(Data!D22),Data!D22+Metrics!D196,"-"),"-")</f>
        <v>235.768</v>
      </c>
      <c r="E197" s="276">
        <f>IFERROR(IF(ISNUMBER(Data!E22),Data!E22+Metrics!E196,"-"),"-")</f>
        <v>535.0</v>
      </c>
      <c r="F197" s="276">
        <f>IFERROR(IF(ISNUMBER(Data!F22),Data!F22+Metrics!F196,"-"),"-")</f>
        <v>297.0</v>
      </c>
      <c r="G197" s="276">
        <f>IFERROR(IF(ISNUMBER(Data!G22),Data!G22+Metrics!G196,"-"),"-")</f>
        <v>455.0</v>
      </c>
      <c r="H197" s="276">
        <f>IFERROR(IF(ISNUMBER(Data!H22),Data!H22+Metrics!H196,"-"),"-")</f>
        <v>548.0</v>
      </c>
      <c r="I197" s="276">
        <f>IFERROR(IF(ISNUMBER(Data!I22),Data!I22+Metrics!I196,"-"),"-")</f>
        <v>1030.0</v>
      </c>
      <c r="J197" s="276">
        <f>IFERROR(IF(ISNUMBER(Data!J22),Data!J22+Metrics!J196,"-"),"-")</f>
        <v>5011.0</v>
      </c>
      <c r="K197" s="276">
        <f>IFERROR(IF(ISNUMBER(Data!K22),Data!K22+Metrics!K196,"-"),"-")</f>
        <v>7205.0</v>
      </c>
      <c r="L197" s="276">
        <f>IFERROR(IF(ISNUMBER(Data!L22),Data!L22+Metrics!L196,"-"),"-")</f>
        <v>8331.0</v>
      </c>
      <c r="M197" s="261"/>
    </row>
    <row r="198">
      <c r="A198" s="259" t="inlineStr">
        <is>
          <t>Normalized Net Income</t>
        </is>
      </c>
      <c r="B198" s="274">
        <f>IFERROR(IF(ISNUMBER(Data!B26),Data!B26+Metrics!B196*(1-IFERROR(Data!B25/Data!B24,0.21)),"-"),"-")</f>
        <v>-47.426</v>
      </c>
      <c r="C198" s="274">
        <f>IFERROR(IF(ISNUMBER(Data!C26),Data!C26+Metrics!C196*(1-IFERROR(Data!C25/Data!C24,0.21)),"-"),"-")</f>
        <v>179.632</v>
      </c>
      <c r="D198" s="274">
        <f>IFERROR(IF(ISNUMBER(Data!D26),Data!D26+Metrics!D196*(1-IFERROR(Data!D25/Data!D24,0.21)),"-"),"-")</f>
        <v>127.478</v>
      </c>
      <c r="E198" s="274">
        <f>IFERROR(IF(ISNUMBER(Data!E26),Data!E26+Metrics!E196*(1-IFERROR(Data!E25/Data!E24,0.21)),"-"),"-")</f>
        <v>1110.0</v>
      </c>
      <c r="F198" s="274">
        <f>IFERROR(IF(ISNUMBER(Data!F26),Data!F26+Metrics!F196*(1-IFERROR(Data!F25/Data!F24,0.21)),"-"),"-")</f>
        <v>126.0</v>
      </c>
      <c r="G198" s="274">
        <f>IFERROR(IF(ISNUMBER(Data!G26),Data!G26+Metrics!G196*(1-IFERROR(Data!G25/Data!G24,0.21)),"-"),"-")</f>
        <v>4072.0</v>
      </c>
      <c r="H198" s="274">
        <f>IFERROR(IF(ISNUMBER(Data!H26),Data!H26+Metrics!H196*(1-IFERROR(Data!H25/Data!H24,0.21)),"-"),"-")</f>
        <v>1444.0</v>
      </c>
      <c r="I198" s="274">
        <f>IFERROR(IF(ISNUMBER(Data!I26),Data!I26+Metrics!I196*(1-IFERROR(Data!I25/Data!I24,0.21)),"-"),"-")</f>
        <v>208.0</v>
      </c>
      <c r="J198" s="274">
        <f>IFERROR(IF(ISNUMBER(Data!J26),Data!J26+Metrics!J196*(1-IFERROR(Data!J25/Data!J24,0.21)),"-"),"-")</f>
        <v>4136.0</v>
      </c>
      <c r="K198" s="274">
        <f>IFERROR(IF(ISNUMBER(Data!K26),Data!K26+Metrics!K196*(1-IFERROR(Data!K25/Data!K24,0.21)),"-"),"-")</f>
        <v>6197.0</v>
      </c>
      <c r="L198" s="274">
        <f>IFERROR(IF(ISNUMBER(Data!L26),Data!L26+Metrics!L196*(1-IFERROR(Data!L25/Data!L24,0.21)),"-"),"-")</f>
        <v>7457.0</v>
      </c>
      <c r="M198" s="261"/>
    </row>
    <row r="199">
      <c r="A199" s="263" t="inlineStr">
        <is>
          <t>Normalized Diluted EPS</t>
        </is>
      </c>
      <c r="B199" s="276">
        <f>IFERROR(IF(AND(ISNUMBER(Metrics!B198),ISNUMBER(Data!B28)),Metrics!B198/Data!B28,"-"),"-")</f>
        <v>-0.07167870480785071</v>
      </c>
      <c r="C199" s="276">
        <f>IFERROR(IF(AND(ISNUMBER(Metrics!C198),ISNUMBER(Data!C28)),Metrics!C198/Data!C28,"-"),"-")</f>
        <v>0.2565376161961221</v>
      </c>
      <c r="D199" s="276">
        <f>IFERROR(IF(AND(ISNUMBER(Metrics!D198),ISNUMBER(Data!D28)),Metrics!D198/Data!D28,"-"),"-")</f>
        <v>0.1735343684573059</v>
      </c>
      <c r="E199" s="276">
        <f>IFERROR(IF(AND(ISNUMBER(Metrics!E198),ISNUMBER(Data!E28)),Metrics!E198/Data!E28,"-"),"-")</f>
        <v>1.4322580645161291</v>
      </c>
      <c r="F199" s="276">
        <f>IFERROR(IF(AND(ISNUMBER(Metrics!F198),ISNUMBER(Data!F28)),Metrics!F198/Data!F28,"-"),"-")</f>
        <v>0.14823529411764705</v>
      </c>
      <c r="G199" s="276">
        <f>IFERROR(IF(AND(ISNUMBER(Metrics!G198),ISNUMBER(Data!G28)),Metrics!G198/Data!G28,"-"),"-")</f>
        <v>4.378494623655914</v>
      </c>
      <c r="H199" s="276">
        <f>IFERROR(IF(AND(ISNUMBER(Metrics!H198),ISNUMBER(Data!H28)),Metrics!H198/Data!H28,"-"),"-")</f>
        <v>1.482546201232033</v>
      </c>
      <c r="I199" s="276">
        <f>IFERROR(IF(AND(ISNUMBER(Metrics!I198),ISNUMBER(Data!I28)),Metrics!I198/Data!I28,"-"),"-")</f>
        <v>0.2086258776328987</v>
      </c>
      <c r="J199" s="276">
        <f>IFERROR(IF(AND(ISNUMBER(Metrics!J198),ISNUMBER(Data!J28)),Metrics!J198/Data!J28,"-"),"-")</f>
        <v>4.203252032520325</v>
      </c>
      <c r="K199" s="276">
        <f>IFERROR(IF(AND(ISNUMBER(Metrics!K198),ISNUMBER(Data!K28)),Metrics!K198/Data!K28,"-"),"-")</f>
        <v>6.362422997946612</v>
      </c>
      <c r="L199" s="276">
        <f>IFERROR(IF(AND(ISNUMBER(Metrics!L198),ISNUMBER(Data!L28)),Metrics!L198/Data!L28,"-"),"-")</f>
        <v>7.800209205020921</v>
      </c>
      <c r="M199" s="261"/>
    </row>
    <row r="200">
      <c r="A200" s="259" t="inlineStr">
        <is>
          <t>Normalized EBIT Margin</t>
        </is>
      </c>
      <c r="B200" s="274">
        <f>IFERROR(IF(ISNUMBER(Metrics!B197),Metrics!B197/Data!B14,"-"),"-")</f>
        <v>0.017237029668755295</v>
      </c>
      <c r="C200" s="274">
        <f>IFERROR(IF(ISNUMBER(Metrics!C197),Metrics!C197/Data!C14,"-"),"-")</f>
        <v>0.007653494096270917</v>
      </c>
      <c r="D200" s="274">
        <f>IFERROR(IF(ISNUMBER(Metrics!D197),Metrics!D197/Data!D14,"-"),"-")</f>
        <v>0.02249692080505251</v>
      </c>
      <c r="E200" s="274">
        <f>IFERROR(IF(ISNUMBER(Metrics!E197),Metrics!E197/Data!E14,"-"),"-")</f>
        <v>0.040280078301460624</v>
      </c>
      <c r="F200" s="274">
        <f>IFERROR(IF(ISNUMBER(Metrics!F197),Metrics!F197/Data!F14,"-"),"-")</f>
        <v>0.017370452684524505</v>
      </c>
      <c r="G200" s="274">
        <f>IFERROR(IF(ISNUMBER(Metrics!G197),Metrics!G197/Data!G14,"-"),"-")</f>
        <v>0.021409749670619236</v>
      </c>
      <c r="H200" s="274">
        <f>IFERROR(IF(ISNUMBER(Metrics!H197),Metrics!H197/Data!H14,"-"),"-")</f>
        <v>0.020685489959232976</v>
      </c>
      <c r="I200" s="274">
        <f>IFERROR(IF(ISNUMBER(Metrics!I197),Metrics!I197/Data!I14,"-"),"-")</f>
        <v>0.03285276856340903</v>
      </c>
      <c r="J200" s="274">
        <f>IFERROR(IF(ISNUMBER(Metrics!J197),Metrics!J197/Data!J14,"-"),"-")</f>
        <v>0.14375878589666352</v>
      </c>
      <c r="K200" s="274">
        <f>IFERROR(IF(ISNUMBER(Metrics!K197),Metrics!K197/Data!K14,"-"),"-")</f>
        <v>0.19013062409288825</v>
      </c>
      <c r="L200" s="274">
        <f>IFERROR(IF(ISNUMBER(Metrics!L197),Metrics!L197/Data!L14,"-"),"-")</f>
        <v>0.20062612883804937</v>
      </c>
      <c r="M200" s="261"/>
    </row>
    <row r="201">
      <c r="A201" s="263" t="inlineStr">
        <is>
          <t>Normalized Net Margin</t>
        </is>
      </c>
      <c r="B201" s="276">
        <f>IFERROR(IF(ISNUMBER(Metrics!B198),Metrics!B198/Data!B14,"-"),"-")</f>
        <v>-0.007113313862937694</v>
      </c>
      <c r="C201" s="276">
        <f>IFERROR(IF(ISNUMBER(Metrics!C198),Metrics!C198/Data!C14,"-"),"-")</f>
        <v>0.021405188570426253</v>
      </c>
      <c r="D201" s="276">
        <f>IFERROR(IF(ISNUMBER(Metrics!D198),Metrics!D198/Data!D14,"-"),"-")</f>
        <v>0.012163917369560262</v>
      </c>
      <c r="E201" s="276">
        <f>IFERROR(IF(ISNUMBER(Metrics!E198),Metrics!E198/Data!E14,"-"),"-")</f>
        <v>0.08357175124228279</v>
      </c>
      <c r="F201" s="276">
        <f>IFERROR(IF(ISNUMBER(Metrics!F198),Metrics!F198/Data!F14,"-"),"-")</f>
        <v>0.007369282957071003</v>
      </c>
      <c r="G201" s="276">
        <f>IFERROR(IF(ISNUMBER(Metrics!G198),Metrics!G198/Data!G14,"-"),"-")</f>
        <v>0.19160549595332205</v>
      </c>
      <c r="H201" s="276">
        <f>IFERROR(IF(ISNUMBER(Metrics!H198),Metrics!H198/Data!H14,"-"),"-")</f>
        <v>0.054507020987467916</v>
      </c>
      <c r="I201" s="276">
        <f>IFERROR(IF(ISNUMBER(Metrics!I198),Metrics!I198/Data!I14,"-"),"-")</f>
        <v>0.006634345496300076</v>
      </c>
      <c r="J201" s="276">
        <f>IFERROR(IF(ISNUMBER(Metrics!J198),Metrics!J198/Data!J14,"-"),"-")</f>
        <v>0.11865622400091803</v>
      </c>
      <c r="K201" s="276">
        <f>IFERROR(IF(ISNUMBER(Metrics!K198),Metrics!K198/Data!K14,"-"),"-")</f>
        <v>0.16353080881382767</v>
      </c>
      <c r="L201" s="276">
        <f>IFERROR(IF(ISNUMBER(Metrics!L198),Metrics!L198/Data!L14,"-"),"-")</f>
        <v>0.179578567128236</v>
      </c>
      <c r="M201" s="261"/>
    </row>
  </sheetData>
  <mergeCells count="19">
    <mergeCell ref="A84:L84"/>
    <mergeCell ref="A116:Y116"/>
    <mergeCell ref="A56:L56"/>
    <mergeCell ref="A195:L195"/>
    <mergeCell ref="A192:L192"/>
    <mergeCell ref="A2:U2"/>
    <mergeCell ref="A10:Y10"/>
    <mergeCell ref="A28:Y28"/>
    <mergeCell ref="A93:Y93"/>
    <mergeCell ref="A175:L175"/>
    <mergeCell ref="A188:L188"/>
    <mergeCell ref="A20:L20"/>
    <mergeCell ref="A151:L151"/>
    <mergeCell ref="A34:L34"/>
    <mergeCell ref="A46:Y46"/>
    <mergeCell ref="A66:Y66"/>
    <mergeCell ref="A128:Y128"/>
    <mergeCell ref="A169:L169"/>
    <mergeCell ref="A105:Y105"/>
  </mergeCells>
  <pageMargins left="0.75" right="0.75" top="1" bottom="1" header="0.511811023622047" footer="0.511811023622047"/>
  <pageSetup orientation="portrait" paperSize="9" horizontalDpi="300" verticalDpi="300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62"/>
  <sheetViews>
    <sheetView showGridLines="1" zoomScale="100" workbookViewId="0">
      <pane xSplit="1" topLeftCell="B1" activePane="topRight" state="frozen"/>
    </sheetView>
  </sheetViews>
  <sheetFormatPr baseColWidth="8" defaultRowHeight="15"/>
  <cols>
    <col width="27" customWidth="1" style="74" min="1" max="1"/>
    <col width="20" customWidth="1" style="74" min="2" max="2"/>
    <col width="20" customWidth="1" style="74" min="3" max="3"/>
    <col width="20" customWidth="1" style="74" min="4" max="4"/>
    <col width="20" customWidth="1" style="74" min="5" max="5"/>
    <col width="4" customWidth="1" style="74" min="6" max="6"/>
    <col width="4" customWidth="1" style="74" min="7" max="7"/>
    <col width="4" customWidth="1" style="74" min="8" max="8"/>
    <col width="4" customWidth="1" style="74" min="9" max="9"/>
    <col width="4" customWidth="1" style="74" min="10" max="10"/>
    <col width="4" customWidth="1" style="74" min="11" max="11"/>
    <col width="4" customWidth="1" style="74" min="12" max="12"/>
    <col hidden="1" width="13" customWidth="1" style="74" min="13" max="13"/>
  </cols>
  <sheetData>
    <row r="1" ht="30" customHeight="1" s="74">
      <c r="A1" s="226" t="inlineStr">
        <is>
          <t>Peer Comparison Data</t>
        </is>
      </c>
      <c r="F1" s="261"/>
      <c r="G1" s="261"/>
      <c r="H1" s="261"/>
      <c r="I1" s="261"/>
      <c r="J1" s="261"/>
      <c r="K1" s="261"/>
      <c r="L1" s="261"/>
      <c r="M1" s="261"/>
    </row>
    <row r="2" ht="24" customHeight="1" s="74">
      <c r="A2" s="278" t="inlineStr">
        <is>
          <t>Company</t>
        </is>
      </c>
      <c r="B2" s="279" t="inlineStr">
        <is>
          <t>ServiceNow, Inc.</t>
        </is>
      </c>
      <c r="C2" s="279" t="inlineStr">
        <is>
          <t>Oracle Corporation</t>
        </is>
      </c>
      <c r="D2" s="279"/>
      <c r="E2" s="279"/>
      <c r="F2" s="280"/>
      <c r="G2" s="261"/>
      <c r="H2" s="281"/>
      <c r="I2" s="261"/>
      <c r="J2" s="261"/>
      <c r="K2" s="261"/>
      <c r="L2" s="261"/>
      <c r="M2" s="309" t="inlineStr">
        <is>
          <t xml:space="preserve">market-researcher | peer-researcher | as-of: </t>
        </is>
      </c>
    </row>
    <row r="3" ht="24" customHeight="1" s="74">
      <c r="A3" s="259" t="inlineStr">
        <is>
          <t>Ticker</t>
        </is>
      </c>
      <c r="B3" s="425" t="inlineStr">
        <is>
          <t>NOW</t>
        </is>
      </c>
      <c r="C3" s="425" t="inlineStr">
        <is>
          <t>ORCL</t>
        </is>
      </c>
      <c r="D3" s="425"/>
      <c r="E3" s="425"/>
      <c r="F3" s="261"/>
      <c r="G3" s="261"/>
      <c r="H3" s="261"/>
      <c r="I3" s="261"/>
      <c r="J3" s="261"/>
      <c r="K3" s="261"/>
      <c r="L3" s="261"/>
      <c r="M3" s="309" t="inlineStr">
        <is>
          <t xml:space="preserve">market-researcher | peer-researcher | as-of: </t>
        </is>
      </c>
    </row>
    <row r="4" ht="17" customHeight="1" s="74">
      <c r="A4" s="263" t="inlineStr">
        <is>
          <t>Accounting Std.</t>
        </is>
      </c>
      <c r="B4" s="426" t="inlineStr">
        <is>
          <t>US GAAP</t>
        </is>
      </c>
      <c r="C4" s="426" t="inlineStr">
        <is>
          <t>US GAAP</t>
        </is>
      </c>
      <c r="D4" s="426"/>
      <c r="E4" s="426"/>
      <c r="F4" s="261"/>
      <c r="G4" s="261"/>
      <c r="H4" s="261"/>
      <c r="I4" s="261"/>
      <c r="J4" s="261"/>
      <c r="K4" s="261"/>
      <c r="L4" s="261"/>
      <c r="M4" s="309" t="inlineStr">
        <is>
          <t xml:space="preserve">market-researcher | peer-researcher | as-of: </t>
        </is>
      </c>
    </row>
    <row r="5" ht="17" customHeight="1" s="74">
      <c r="A5" s="259" t="inlineStr">
        <is>
          <t>Fiscal Year End</t>
        </is>
      </c>
      <c r="B5" s="425" t="inlineStr">
        <is>
          <t>December</t>
        </is>
      </c>
      <c r="C5" s="425" t="inlineStr">
        <is>
          <t>May</t>
        </is>
      </c>
      <c r="D5" s="425"/>
      <c r="E5" s="425"/>
      <c r="F5" s="261"/>
      <c r="G5" s="261"/>
      <c r="H5" s="261"/>
      <c r="I5" s="261"/>
      <c r="J5" s="261"/>
      <c r="K5" s="261"/>
      <c r="L5" s="261"/>
      <c r="M5" s="309" t="inlineStr">
        <is>
          <t xml:space="preserve">market-researcher | peer-researcher | as-of: </t>
        </is>
      </c>
    </row>
    <row r="6" ht="17" customHeight="1" s="74">
      <c r="A6" s="263" t="inlineStr">
        <is>
          <t>Filing Type</t>
        </is>
      </c>
      <c r="B6" s="426" t="inlineStr">
        <is>
          <t>10-K</t>
        </is>
      </c>
      <c r="C6" s="426" t="inlineStr">
        <is>
          <t>10-K</t>
        </is>
      </c>
      <c r="D6" s="426"/>
      <c r="E6" s="426"/>
      <c r="F6" s="261"/>
      <c r="G6" s="261"/>
      <c r="H6" s="261"/>
      <c r="I6" s="261"/>
      <c r="J6" s="261"/>
      <c r="K6" s="261"/>
      <c r="L6" s="261"/>
      <c r="M6" s="309" t="inlineStr">
        <is>
          <t xml:space="preserve">market-researcher | peer-researcher | as-of: </t>
        </is>
      </c>
    </row>
    <row r="7" ht="17" customHeight="1" s="74">
      <c r="A7" s="259" t="inlineStr">
        <is>
          <t>Period</t>
        </is>
      </c>
      <c r="B7" s="425" t="inlineStr">
        <is>
          <t>FY2025 (Dec)</t>
        </is>
      </c>
      <c r="C7" s="425" t="inlineStr">
        <is>
          <t>FY2025 (May)</t>
        </is>
      </c>
      <c r="D7" s="425"/>
      <c r="E7" s="425"/>
      <c r="F7" s="261"/>
      <c r="G7" s="261"/>
      <c r="H7" s="261"/>
      <c r="I7" s="261"/>
      <c r="J7" s="261"/>
      <c r="K7" s="261"/>
      <c r="L7" s="261"/>
      <c r="M7" s="309" t="inlineStr">
        <is>
          <t xml:space="preserve">market-researcher | peer-researcher | as-of: </t>
        </is>
      </c>
    </row>
    <row r="8" ht="22" customHeight="1" s="74">
      <c r="A8" s="226" t="inlineStr">
        <is>
          <t>P&amp;L METRICS</t>
        </is>
      </c>
      <c r="F8" s="261"/>
      <c r="G8" s="261"/>
      <c r="H8" s="261"/>
      <c r="I8" s="261"/>
      <c r="J8" s="261"/>
      <c r="K8" s="261"/>
      <c r="L8" s="261"/>
      <c r="M8" s="261"/>
    </row>
    <row r="9" ht="17" customHeight="1" s="74">
      <c r="A9" s="282"/>
      <c r="B9" s="283"/>
      <c r="C9" s="283"/>
      <c r="D9" s="283"/>
      <c r="E9" s="283"/>
      <c r="F9" s="284"/>
      <c r="G9" s="284"/>
      <c r="H9" s="284"/>
      <c r="I9" s="284"/>
      <c r="J9" s="284"/>
      <c r="K9" s="284"/>
      <c r="L9" s="284"/>
      <c r="M9" s="261"/>
    </row>
    <row r="10" ht="17" customHeight="1" s="74">
      <c r="A10" s="263" t="inlineStr">
        <is>
          <t>Revenue ($M)</t>
        </is>
      </c>
      <c r="B10" s="427" t="n">
        <v>13278</v>
      </c>
      <c r="C10" s="427" t="n">
        <v>57399</v>
      </c>
      <c r="D10" s="427"/>
      <c r="E10" s="427"/>
      <c r="F10" s="284"/>
      <c r="G10" s="284"/>
      <c r="H10" s="284"/>
      <c r="I10" s="284"/>
      <c r="J10" s="284"/>
      <c r="K10" s="284"/>
      <c r="L10" s="284"/>
      <c r="M10" s="309" t="inlineStr">
        <is>
          <t xml:space="preserve">market-researcher | peer-researcher | as-of: </t>
        </is>
      </c>
    </row>
    <row r="11" ht="17" customHeight="1" s="74">
      <c r="A11" s="259" t="inlineStr">
        <is>
          <t>EBIT Margin</t>
        </is>
      </c>
      <c r="B11" s="428" t="n">
        <v>13.7</v>
      </c>
      <c r="C11" s="428" t="n">
        <v>30.8</v>
      </c>
      <c r="D11" s="428"/>
      <c r="E11" s="428"/>
      <c r="F11" s="284"/>
      <c r="G11" s="284"/>
      <c r="H11" s="284"/>
      <c r="I11" s="284"/>
      <c r="J11" s="284"/>
      <c r="K11" s="284"/>
      <c r="L11" s="284"/>
      <c r="M11" s="309" t="inlineStr">
        <is>
          <t xml:space="preserve">market-researcher | peer-researcher | as-of: </t>
        </is>
      </c>
    </row>
    <row r="12" ht="17" customHeight="1" s="74">
      <c r="A12" s="263" t="inlineStr">
        <is>
          <t>EBITDA Margin</t>
        </is>
      </c>
      <c r="B12" s="429" t="n">
        <v>19.3</v>
      </c>
      <c r="C12" s="429" t="n">
        <v>41.6</v>
      </c>
      <c r="D12" s="429"/>
      <c r="E12" s="429"/>
      <c r="F12" s="284"/>
      <c r="G12" s="284"/>
      <c r="H12" s="284"/>
      <c r="I12" s="284"/>
      <c r="J12" s="284"/>
      <c r="K12" s="284"/>
      <c r="L12" s="284"/>
      <c r="M12" s="309" t="inlineStr">
        <is>
          <t xml:space="preserve">market-researcher | peer-researcher | as-of: </t>
        </is>
      </c>
    </row>
    <row r="13" ht="17" customHeight="1" s="74">
      <c r="A13" s="259" t="inlineStr">
        <is>
          <t>Net Margin</t>
        </is>
      </c>
      <c r="B13" s="428" t="n">
        <v>13.2</v>
      </c>
      <c r="C13" s="428" t="n">
        <v>21.7</v>
      </c>
      <c r="D13" s="428"/>
      <c r="E13" s="428"/>
      <c r="F13" s="284"/>
      <c r="G13" s="284"/>
      <c r="H13" s="284"/>
      <c r="I13" s="284"/>
      <c r="J13" s="284"/>
      <c r="K13" s="284"/>
      <c r="L13" s="284"/>
      <c r="M13" s="309" t="inlineStr">
        <is>
          <t xml:space="preserve">market-researcher | peer-researcher | as-of: </t>
        </is>
      </c>
    </row>
    <row r="14" ht="17" customHeight="1" s="74">
      <c r="A14" s="263" t="inlineStr">
        <is>
          <t>Gross Margin</t>
        </is>
      </c>
      <c r="B14" s="429" t="n">
        <v>77.5</v>
      </c>
      <c r="C14" s="429" t="n">
        <v>70.5</v>
      </c>
      <c r="D14" s="429"/>
      <c r="E14" s="429"/>
      <c r="F14" s="284"/>
      <c r="G14" s="284"/>
      <c r="H14" s="284"/>
      <c r="I14" s="284"/>
      <c r="J14" s="284"/>
      <c r="K14" s="284"/>
      <c r="L14" s="284"/>
      <c r="M14" s="309" t="inlineStr">
        <is>
          <t xml:space="preserve">market-researcher | peer-researcher | as-of: </t>
        </is>
      </c>
    </row>
    <row r="15" ht="17" customHeight="1" s="74">
      <c r="A15" s="259" t="inlineStr">
        <is>
          <t>FCF Margin</t>
        </is>
      </c>
      <c r="B15" s="428" t="n">
        <v>34.5</v>
      </c>
      <c r="C15" s="428" t="n">
        <v>-0.7</v>
      </c>
      <c r="D15" s="428"/>
      <c r="E15" s="428"/>
      <c r="F15" s="284"/>
      <c r="G15" s="284"/>
      <c r="H15" s="284"/>
      <c r="I15" s="284"/>
      <c r="J15" s="284"/>
      <c r="K15" s="284"/>
      <c r="L15" s="284"/>
      <c r="M15" s="309" t="inlineStr">
        <is>
          <t xml:space="preserve">market-researcher | peer-researcher | as-of: </t>
        </is>
      </c>
    </row>
    <row r="16" ht="22" customHeight="1" s="74">
      <c r="A16" s="226" t="inlineStr">
        <is>
          <t>RETURNS &amp; EFFICIENCY</t>
        </is>
      </c>
      <c r="F16" s="261"/>
      <c r="G16" s="261"/>
      <c r="H16" s="261"/>
      <c r="I16" s="261"/>
      <c r="J16" s="261"/>
      <c r="K16" s="261"/>
      <c r="L16" s="261"/>
      <c r="M16" s="261"/>
    </row>
    <row r="17" ht="17" customHeight="1" s="74">
      <c r="A17" s="263" t="inlineStr">
        <is>
          <t>ROIC</t>
        </is>
      </c>
      <c r="B17" s="429"/>
      <c r="C17" s="429"/>
      <c r="D17" s="429"/>
      <c r="E17" s="429"/>
      <c r="F17" s="284"/>
      <c r="G17" s="284"/>
      <c r="H17" s="284"/>
      <c r="I17" s="284"/>
      <c r="J17" s="284"/>
      <c r="K17" s="284"/>
      <c r="L17" s="284"/>
      <c r="M17" s="309"/>
    </row>
    <row r="18" ht="17" customHeight="1" s="74">
      <c r="A18" s="259" t="inlineStr">
        <is>
          <t>ROE</t>
        </is>
      </c>
      <c r="B18" s="428" t="n">
        <v>15.5</v>
      </c>
      <c r="C18" s="428" t="n">
        <v>85.40000000000001</v>
      </c>
      <c r="D18" s="428"/>
      <c r="E18" s="428"/>
      <c r="F18" s="284"/>
      <c r="G18" s="284"/>
      <c r="H18" s="284"/>
      <c r="I18" s="284"/>
      <c r="J18" s="284"/>
      <c r="K18" s="284"/>
      <c r="L18" s="284"/>
      <c r="M18" s="309" t="inlineStr">
        <is>
          <t xml:space="preserve">market-researcher | peer-researcher | as-of: </t>
        </is>
      </c>
    </row>
    <row r="19" ht="17" customHeight="1" s="74">
      <c r="A19" s="263" t="inlineStr">
        <is>
          <t>ROA</t>
        </is>
      </c>
      <c r="B19" s="429" t="n">
        <v>7.5</v>
      </c>
      <c r="C19" s="429" t="n">
        <v>8</v>
      </c>
      <c r="D19" s="429"/>
      <c r="E19" s="429"/>
      <c r="F19" s="284"/>
      <c r="G19" s="284"/>
      <c r="H19" s="284"/>
      <c r="I19" s="284"/>
      <c r="J19" s="284"/>
      <c r="K19" s="284"/>
      <c r="L19" s="284"/>
      <c r="M19" s="309" t="inlineStr">
        <is>
          <t xml:space="preserve">market-researcher | peer-researcher | as-of: </t>
        </is>
      </c>
    </row>
    <row r="20" ht="17" customHeight="1" s="74">
      <c r="A20" s="259" t="inlineStr">
        <is>
          <t>Asset Turnover</t>
        </is>
      </c>
      <c r="B20" s="430" t="n">
        <v>0.57</v>
      </c>
      <c r="C20" s="430" t="n">
        <v>0.37</v>
      </c>
      <c r="D20" s="430"/>
      <c r="E20" s="430"/>
      <c r="F20" s="284"/>
      <c r="G20" s="284"/>
      <c r="H20" s="284"/>
      <c r="I20" s="284"/>
      <c r="J20" s="284"/>
      <c r="K20" s="284"/>
      <c r="L20" s="284"/>
      <c r="M20" s="309" t="inlineStr">
        <is>
          <t xml:space="preserve">market-researcher | peer-researcher | as-of: </t>
        </is>
      </c>
    </row>
    <row r="21" ht="22" customHeight="1" s="74">
      <c r="A21" s="226" t="inlineStr">
        <is>
          <t>LEVERAGE</t>
        </is>
      </c>
      <c r="F21" s="261"/>
      <c r="G21" s="261"/>
      <c r="H21" s="261"/>
      <c r="I21" s="261"/>
      <c r="J21" s="261"/>
      <c r="K21" s="261"/>
      <c r="L21" s="261"/>
      <c r="M21" s="261"/>
    </row>
    <row r="22" ht="17" customHeight="1" s="74">
      <c r="A22" s="263" t="inlineStr">
        <is>
          <t>Net Debt / EBITDA</t>
        </is>
      </c>
      <c r="B22" s="431" t="n">
        <v>-1.9</v>
      </c>
      <c r="C22" s="431" t="n">
        <v>3.4</v>
      </c>
      <c r="D22" s="431"/>
      <c r="E22" s="431"/>
      <c r="F22" s="284"/>
      <c r="G22" s="284"/>
      <c r="H22" s="284"/>
      <c r="I22" s="284"/>
      <c r="J22" s="284"/>
      <c r="K22" s="284"/>
      <c r="L22" s="284"/>
      <c r="M22" s="309" t="inlineStr">
        <is>
          <t xml:space="preserve">market-researcher | peer-researcher | as-of: </t>
        </is>
      </c>
    </row>
    <row r="23" ht="17" customHeight="1" s="74">
      <c r="A23" s="259" t="inlineStr">
        <is>
          <t>Debt / Equity</t>
        </is>
      </c>
      <c r="B23" s="430" t="n">
        <v>0.12</v>
      </c>
      <c r="C23" s="430" t="n">
        <v>4.53</v>
      </c>
      <c r="D23" s="430"/>
      <c r="E23" s="430"/>
      <c r="F23" s="284"/>
      <c r="G23" s="284"/>
      <c r="H23" s="284"/>
      <c r="I23" s="284"/>
      <c r="J23" s="284"/>
      <c r="K23" s="284"/>
      <c r="L23" s="284"/>
      <c r="M23" s="309" t="inlineStr">
        <is>
          <t xml:space="preserve">market-researcher | peer-researcher | as-of: </t>
        </is>
      </c>
    </row>
    <row r="24" ht="17" customHeight="1" s="74">
      <c r="A24" s="263" t="inlineStr">
        <is>
          <t>Interest Coverage</t>
        </is>
      </c>
      <c r="B24" s="429"/>
      <c r="C24" s="429"/>
      <c r="D24" s="429"/>
      <c r="E24" s="429"/>
      <c r="F24" s="284"/>
      <c r="G24" s="284"/>
      <c r="H24" s="284"/>
      <c r="I24" s="284"/>
      <c r="J24" s="284"/>
      <c r="K24" s="284"/>
      <c r="L24" s="284"/>
      <c r="M24" s="309"/>
    </row>
    <row r="25" ht="17" customHeight="1" s="74">
      <c r="A25" s="259" t="inlineStr">
        <is>
          <t>Current Ratio</t>
        </is>
      </c>
      <c r="B25" s="430"/>
      <c r="C25" s="430"/>
      <c r="D25" s="430"/>
      <c r="E25" s="430"/>
      <c r="F25" s="284"/>
      <c r="G25" s="284"/>
      <c r="H25" s="284"/>
      <c r="I25" s="284"/>
      <c r="J25" s="284"/>
      <c r="K25" s="284"/>
      <c r="L25" s="284"/>
      <c r="M25" s="309"/>
    </row>
    <row r="26" ht="22" customHeight="1" s="74">
      <c r="A26" s="226" t="inlineStr">
        <is>
          <t>VALUATION MULTIPLES</t>
        </is>
      </c>
      <c r="F26" s="261"/>
      <c r="G26" s="261"/>
      <c r="H26" s="261"/>
      <c r="I26" s="261"/>
      <c r="J26" s="261"/>
      <c r="K26" s="261"/>
      <c r="L26" s="261"/>
      <c r="M26" s="261"/>
    </row>
    <row r="27" ht="17" customHeight="1" s="74">
      <c r="A27" s="263" t="inlineStr">
        <is>
          <t>EV / EBITDA</t>
        </is>
      </c>
      <c r="B27" s="429" t="n">
        <v>36.2</v>
      </c>
      <c r="C27" s="429" t="n">
        <v>24.1</v>
      </c>
      <c r="D27" s="429"/>
      <c r="E27" s="429"/>
      <c r="F27" s="284"/>
      <c r="G27" s="284"/>
      <c r="H27" s="284"/>
      <c r="I27" s="284"/>
      <c r="J27" s="284"/>
      <c r="K27" s="284"/>
      <c r="L27" s="284"/>
      <c r="M27" s="309" t="inlineStr">
        <is>
          <t xml:space="preserve">market-researcher | peer-researcher | as-of: </t>
        </is>
      </c>
    </row>
    <row r="28" ht="17" customHeight="1" s="74">
      <c r="A28" s="259" t="inlineStr">
        <is>
          <t>P / E</t>
        </is>
      </c>
      <c r="B28" s="428" t="n">
        <v>55.7</v>
      </c>
      <c r="C28" s="428" t="n">
        <v>40.4</v>
      </c>
      <c r="D28" s="428"/>
      <c r="E28" s="428"/>
      <c r="F28" s="284"/>
      <c r="G28" s="284"/>
      <c r="H28" s="284"/>
      <c r="I28" s="284"/>
      <c r="J28" s="284"/>
      <c r="K28" s="284"/>
      <c r="L28" s="284"/>
      <c r="M28" s="309" t="inlineStr">
        <is>
          <t xml:space="preserve">market-researcher | peer-researcher | as-of: </t>
        </is>
      </c>
    </row>
    <row r="29" ht="17" customHeight="1" s="74">
      <c r="A29" s="263" t="inlineStr">
        <is>
          <t>FCF Yield</t>
        </is>
      </c>
      <c r="B29" s="429" t="n">
        <v>4.7</v>
      </c>
      <c r="C29" s="429" t="n">
        <v>-0.1</v>
      </c>
      <c r="D29" s="429"/>
      <c r="E29" s="429"/>
      <c r="F29" s="284"/>
      <c r="G29" s="284"/>
      <c r="H29" s="284"/>
      <c r="I29" s="284"/>
      <c r="J29" s="284"/>
      <c r="K29" s="284"/>
      <c r="L29" s="284"/>
      <c r="M29" s="309" t="inlineStr">
        <is>
          <t xml:space="preserve">market-researcher | peer-researcher | as-of: </t>
        </is>
      </c>
    </row>
    <row r="30" ht="22" customHeight="1" s="74">
      <c r="A30" s="226" t="inlineStr">
        <is>
          <t>WORKING CAPITAL</t>
        </is>
      </c>
      <c r="F30" s="261"/>
      <c r="G30" s="261"/>
      <c r="H30" s="261"/>
      <c r="I30" s="261"/>
      <c r="J30" s="261"/>
      <c r="K30" s="261"/>
      <c r="L30" s="261"/>
      <c r="M30" s="261"/>
    </row>
    <row r="31" ht="17" customHeight="1" s="74">
      <c r="A31" s="259" t="inlineStr">
        <is>
          <t>Days Sales Outstanding</t>
        </is>
      </c>
      <c r="B31" s="428"/>
      <c r="C31" s="428"/>
      <c r="D31" s="428"/>
      <c r="E31" s="428"/>
      <c r="F31" s="284"/>
      <c r="G31" s="284"/>
      <c r="H31" s="284"/>
      <c r="I31" s="284"/>
      <c r="J31" s="284"/>
      <c r="K31" s="284"/>
      <c r="L31" s="284"/>
      <c r="M31" s="309"/>
    </row>
    <row r="32" ht="17" customHeight="1" s="74">
      <c r="A32" s="263" t="inlineStr">
        <is>
          <t>Days Inventory Outstanding</t>
        </is>
      </c>
      <c r="B32" s="429"/>
      <c r="C32" s="429"/>
      <c r="D32" s="429"/>
      <c r="E32" s="429"/>
      <c r="F32" s="284"/>
      <c r="G32" s="284"/>
      <c r="H32" s="284"/>
      <c r="I32" s="284"/>
      <c r="J32" s="284"/>
      <c r="K32" s="284"/>
      <c r="L32" s="284"/>
      <c r="M32" s="309"/>
    </row>
    <row r="33" ht="17" customHeight="1" s="74">
      <c r="A33" s="259" t="inlineStr">
        <is>
          <t>Days Payables Outstanding</t>
        </is>
      </c>
      <c r="B33" s="428"/>
      <c r="C33" s="428"/>
      <c r="D33" s="428"/>
      <c r="E33" s="428"/>
      <c r="F33" s="284"/>
      <c r="G33" s="284"/>
      <c r="H33" s="284"/>
      <c r="I33" s="284"/>
      <c r="J33" s="284"/>
      <c r="K33" s="284"/>
      <c r="L33" s="284"/>
      <c r="M33" s="309"/>
    </row>
    <row r="34" ht="17" customHeight="1" s="74">
      <c r="A34" s="263" t="inlineStr">
        <is>
          <t>Cash Conversion Cycle</t>
        </is>
      </c>
      <c r="B34" s="429"/>
      <c r="C34" s="429"/>
      <c r="D34" s="429"/>
      <c r="E34" s="429"/>
      <c r="F34" s="284"/>
      <c r="G34" s="284"/>
      <c r="H34" s="284"/>
      <c r="I34" s="284"/>
      <c r="J34" s="284"/>
      <c r="K34" s="284"/>
      <c r="L34" s="284"/>
      <c r="M34" s="309"/>
    </row>
    <row r="35" ht="17" customHeight="1" s="74">
      <c r="A35" s="259" t="inlineStr">
        <is>
          <t>CapEx / Revenue</t>
        </is>
      </c>
      <c r="B35" s="428" t="n">
        <v>6.5</v>
      </c>
      <c r="C35" s="428" t="n">
        <v>37</v>
      </c>
      <c r="D35" s="428"/>
      <c r="E35" s="428"/>
      <c r="F35" s="284"/>
      <c r="G35" s="284"/>
      <c r="H35" s="284"/>
      <c r="I35" s="284"/>
      <c r="J35" s="284"/>
      <c r="K35" s="284"/>
      <c r="L35" s="284"/>
      <c r="M35" s="309" t="inlineStr">
        <is>
          <t xml:space="preserve">market-researcher | peer-researcher | as-of: </t>
        </is>
      </c>
    </row>
    <row r="36" ht="17" customHeight="1" s="74">
      <c r="A36" s="505"/>
      <c r="B36" s="506"/>
      <c r="C36" s="506"/>
      <c r="D36" s="506"/>
      <c r="E36" s="506"/>
      <c r="F36" s="284"/>
      <c r="G36" s="284"/>
      <c r="H36" s="284"/>
      <c r="I36" s="284"/>
      <c r="J36" s="284"/>
      <c r="K36" s="284"/>
      <c r="L36" s="284"/>
      <c r="M36" s="261"/>
    </row>
    <row r="37" ht="17" customHeight="1" s="74">
      <c r="A37" s="505"/>
      <c r="B37" s="506"/>
      <c r="C37" s="506"/>
      <c r="D37" s="506"/>
      <c r="E37" s="506"/>
      <c r="F37" s="284"/>
      <c r="G37" s="284"/>
      <c r="H37" s="284"/>
      <c r="I37" s="284"/>
      <c r="J37" s="284"/>
      <c r="K37" s="284"/>
      <c r="L37" s="284"/>
      <c r="M37" s="261"/>
    </row>
    <row r="38" ht="17" customHeight="1" s="74">
      <c r="A38" s="505"/>
      <c r="B38" s="506"/>
      <c r="C38" s="506"/>
      <c r="D38" s="506"/>
      <c r="E38" s="506"/>
      <c r="F38" s="284"/>
      <c r="G38" s="284"/>
      <c r="H38" s="284"/>
      <c r="I38" s="284"/>
      <c r="J38" s="284"/>
      <c r="K38" s="284"/>
      <c r="L38" s="284"/>
      <c r="M38" s="261"/>
    </row>
    <row r="39" ht="17" customHeight="1" s="74">
      <c r="A39" s="505"/>
      <c r="B39" s="506"/>
      <c r="C39" s="506"/>
      <c r="D39" s="506"/>
      <c r="E39" s="506"/>
      <c r="F39" s="284"/>
      <c r="G39" s="284"/>
      <c r="H39" s="284"/>
      <c r="I39" s="284"/>
      <c r="J39" s="284"/>
      <c r="K39" s="284"/>
      <c r="L39" s="284"/>
      <c r="M39" s="261"/>
    </row>
    <row r="40" ht="17" customHeight="1" s="74">
      <c r="A40" s="505"/>
      <c r="B40" s="506"/>
      <c r="C40" s="506"/>
      <c r="D40" s="506"/>
      <c r="E40" s="506"/>
      <c r="F40" s="200"/>
      <c r="G40" s="200"/>
      <c r="H40" s="200"/>
      <c r="I40" s="200"/>
      <c r="J40" s="200"/>
      <c r="K40" s="200"/>
      <c r="L40" s="200"/>
    </row>
    <row r="41" ht="17" customHeight="1" s="74">
      <c r="A41" s="505"/>
      <c r="B41" s="506"/>
      <c r="C41" s="506"/>
      <c r="D41" s="506"/>
      <c r="E41" s="506"/>
      <c r="F41" s="200"/>
      <c r="G41" s="200"/>
      <c r="H41" s="200"/>
      <c r="I41" s="200"/>
      <c r="J41" s="200"/>
      <c r="K41" s="200"/>
      <c r="L41" s="200"/>
    </row>
    <row r="42" ht="17" customHeight="1" s="74">
      <c r="A42" s="505"/>
      <c r="B42" s="506"/>
      <c r="C42" s="506"/>
      <c r="D42" s="506"/>
      <c r="E42" s="506"/>
      <c r="F42" s="200"/>
      <c r="G42" s="200"/>
      <c r="H42" s="200"/>
      <c r="I42" s="200"/>
      <c r="J42" s="200"/>
      <c r="K42" s="200"/>
      <c r="L42" s="200"/>
    </row>
    <row r="43" ht="17" customHeight="1" s="74">
      <c r="A43" s="505"/>
      <c r="B43" s="506"/>
      <c r="C43" s="506"/>
      <c r="D43" s="506"/>
      <c r="E43" s="506"/>
      <c r="F43" s="200"/>
      <c r="G43" s="200"/>
      <c r="H43" s="200"/>
      <c r="I43" s="200"/>
      <c r="J43" s="200"/>
      <c r="K43" s="200"/>
      <c r="L43" s="200"/>
    </row>
    <row r="44" ht="17" customHeight="1" s="74">
      <c r="A44" s="505"/>
      <c r="B44" s="506"/>
      <c r="C44" s="506"/>
      <c r="D44" s="506"/>
      <c r="E44" s="506"/>
      <c r="F44" s="200"/>
      <c r="G44" s="200"/>
      <c r="H44" s="200"/>
      <c r="I44" s="200"/>
      <c r="J44" s="200"/>
      <c r="K44" s="200"/>
      <c r="L44" s="200"/>
    </row>
    <row r="45" ht="17" customHeight="1" s="74">
      <c r="A45" s="505"/>
      <c r="B45" s="506"/>
      <c r="C45" s="506"/>
      <c r="D45" s="506"/>
      <c r="E45" s="506"/>
      <c r="F45" s="200"/>
      <c r="G45" s="200"/>
      <c r="H45" s="200"/>
      <c r="I45" s="200"/>
      <c r="J45" s="200"/>
      <c r="K45" s="200"/>
      <c r="L45" s="200"/>
    </row>
    <row r="46" ht="17" customHeight="1" s="74">
      <c r="A46" s="505"/>
      <c r="B46" s="506"/>
      <c r="C46" s="506"/>
      <c r="D46" s="506"/>
      <c r="E46" s="506"/>
      <c r="F46" s="200"/>
      <c r="G46" s="200"/>
      <c r="H46" s="200"/>
      <c r="I46" s="200"/>
      <c r="J46" s="200"/>
      <c r="K46" s="200"/>
      <c r="L46" s="200"/>
    </row>
    <row r="47" ht="17" customHeight="1" s="74">
      <c r="A47" s="505"/>
      <c r="B47" s="506"/>
      <c r="C47" s="506"/>
      <c r="D47" s="506"/>
      <c r="E47" s="506"/>
      <c r="F47" s="200"/>
      <c r="G47" s="200"/>
      <c r="H47" s="200"/>
      <c r="I47" s="200"/>
      <c r="J47" s="200"/>
      <c r="K47" s="200"/>
      <c r="L47" s="200"/>
    </row>
    <row r="48" ht="17" customHeight="1" s="74">
      <c r="A48" s="505"/>
      <c r="B48" s="506"/>
      <c r="C48" s="506"/>
      <c r="D48" s="506"/>
      <c r="E48" s="506"/>
      <c r="F48" s="200"/>
      <c r="G48" s="200"/>
      <c r="H48" s="200"/>
      <c r="I48" s="200"/>
      <c r="J48" s="200"/>
      <c r="K48" s="200"/>
      <c r="L48" s="200"/>
    </row>
    <row r="49" ht="22" customHeight="1" s="74">
      <c r="A49" s="296" t="inlineStr">
        <is>
          <t>DATA QUALITY FLAGS</t>
        </is>
      </c>
      <c r="B49" s="498"/>
      <c r="C49" s="498"/>
      <c r="D49" s="498"/>
      <c r="E49" s="498"/>
    </row>
    <row r="50" ht="17" customHeight="1" s="74">
      <c r="A50" s="310" t="inlineStr">
        <is>
          <t>Revenue</t>
        </is>
      </c>
      <c r="B50" s="311" t="inlineStr">
        <is>
          <t>OK</t>
        </is>
      </c>
      <c r="C50" s="311" t="inlineStr">
        <is>
          <t>OK</t>
        </is>
      </c>
      <c r="D50" s="508"/>
      <c r="E50" s="508"/>
      <c r="F50" s="200"/>
      <c r="G50" s="200"/>
      <c r="H50" s="200"/>
      <c r="I50" s="200"/>
      <c r="J50" s="200"/>
      <c r="K50" s="200"/>
      <c r="L50" s="200"/>
      <c r="M50" s="308" t="inlineStr">
        <is>
          <t xml:space="preserve">market-researcher | peer-researcher | as-of: </t>
        </is>
      </c>
    </row>
    <row r="51" ht="17" customHeight="1" s="74">
      <c r="A51" s="310" t="inlineStr">
        <is>
          <t>EBIT Margin</t>
        </is>
      </c>
      <c r="B51" s="311" t="inlineStr">
        <is>
          <t>OK</t>
        </is>
      </c>
      <c r="C51" s="311" t="inlineStr">
        <is>
          <t>PERIOD_LAG_8M</t>
        </is>
      </c>
      <c r="D51" s="508"/>
      <c r="E51" s="508"/>
      <c r="F51" s="200"/>
      <c r="G51" s="200"/>
      <c r="H51" s="200"/>
      <c r="I51" s="200"/>
      <c r="J51" s="200"/>
      <c r="K51" s="200"/>
      <c r="L51" s="200"/>
      <c r="M51" s="308" t="inlineStr">
        <is>
          <t xml:space="preserve">market-researcher | peer-researcher | as-of: </t>
        </is>
      </c>
    </row>
    <row r="52" ht="17" customHeight="1" s="74">
      <c r="A52" s="310" t="inlineStr">
        <is>
          <t>EBITDA Margin</t>
        </is>
      </c>
      <c r="B52" s="311" t="inlineStr">
        <is>
          <t>OK</t>
        </is>
      </c>
      <c r="C52" s="311" t="inlineStr">
        <is>
          <t>PERIOD_LAG_8M</t>
        </is>
      </c>
      <c r="D52" s="508"/>
      <c r="E52" s="508"/>
      <c r="F52" s="200"/>
      <c r="G52" s="200"/>
      <c r="H52" s="200"/>
      <c r="I52" s="200"/>
      <c r="J52" s="200"/>
      <c r="K52" s="200"/>
      <c r="L52" s="200"/>
      <c r="M52" s="308" t="inlineStr">
        <is>
          <t xml:space="preserve">market-researcher | peer-researcher | as-of: </t>
        </is>
      </c>
    </row>
    <row r="53" ht="17" customHeight="1" s="74">
      <c r="A53" s="310" t="inlineStr">
        <is>
          <t>Net Margin</t>
        </is>
      </c>
      <c r="B53" s="311" t="inlineStr">
        <is>
          <t>OK</t>
        </is>
      </c>
      <c r="C53" s="311" t="inlineStr">
        <is>
          <t>PERIOD_LAG_8M</t>
        </is>
      </c>
      <c r="D53" s="508"/>
      <c r="E53" s="508"/>
      <c r="F53" s="200"/>
      <c r="G53" s="200"/>
      <c r="H53" s="200"/>
      <c r="I53" s="200"/>
      <c r="J53" s="200"/>
      <c r="K53" s="200"/>
      <c r="L53" s="200"/>
      <c r="M53" s="308" t="inlineStr">
        <is>
          <t xml:space="preserve">market-researcher | peer-researcher | as-of: </t>
        </is>
      </c>
    </row>
    <row r="54" ht="17" customHeight="1" s="74">
      <c r="A54" s="310" t="inlineStr">
        <is>
          <t>Gross Margin</t>
        </is>
      </c>
      <c r="B54" s="311" t="inlineStr">
        <is>
          <t>OK</t>
        </is>
      </c>
      <c r="C54" s="311" t="inlineStr">
        <is>
          <t>COMPUTED</t>
        </is>
      </c>
      <c r="D54" s="508"/>
      <c r="E54" s="508"/>
      <c r="F54" s="200"/>
      <c r="G54" s="200"/>
      <c r="H54" s="200"/>
      <c r="I54" s="200"/>
      <c r="J54" s="200"/>
      <c r="K54" s="200"/>
      <c r="L54" s="200"/>
      <c r="M54" s="308" t="inlineStr">
        <is>
          <t xml:space="preserve">market-researcher | peer-researcher | as-of: </t>
        </is>
      </c>
    </row>
    <row r="55" ht="17" customHeight="1" s="74">
      <c r="A55" s="310" t="inlineStr">
        <is>
          <t>FCF Margin</t>
        </is>
      </c>
      <c r="B55" s="508"/>
      <c r="C55" s="311" t="inlineStr">
        <is>
          <t>CAPEX_SUPERCYCLE</t>
        </is>
      </c>
      <c r="D55" s="508"/>
      <c r="E55" s="508"/>
      <c r="F55" s="200"/>
      <c r="G55" s="200"/>
      <c r="H55" s="200"/>
      <c r="I55" s="200"/>
      <c r="J55" s="200"/>
      <c r="K55" s="200"/>
      <c r="L55" s="200"/>
      <c r="M55" s="308" t="inlineStr">
        <is>
          <t xml:space="preserve">market-researcher | peer-researcher | as-of: </t>
        </is>
      </c>
    </row>
    <row r="56" ht="17" customHeight="1" s="74">
      <c r="A56" s="310" t="inlineStr">
        <is>
          <t>ROIC</t>
        </is>
      </c>
      <c r="B56" s="508"/>
      <c r="C56" s="508"/>
      <c r="D56" s="508"/>
      <c r="E56" s="508"/>
      <c r="F56" s="200"/>
      <c r="G56" s="200"/>
      <c r="H56" s="200"/>
      <c r="I56" s="200"/>
      <c r="J56" s="200"/>
      <c r="K56" s="200"/>
      <c r="L56" s="200"/>
      <c r="M56" s="308"/>
    </row>
    <row r="57" ht="17" customHeight="1" s="74">
      <c r="A57" s="310" t="inlineStr">
        <is>
          <t>ROE</t>
        </is>
      </c>
      <c r="B57" s="311" t="inlineStr">
        <is>
          <t>OK</t>
        </is>
      </c>
      <c r="C57" s="311" t="inlineStr">
        <is>
          <t>DISTORTED_EQUITY_BASE</t>
        </is>
      </c>
      <c r="D57" s="508"/>
      <c r="E57" s="508"/>
      <c r="F57" s="200"/>
      <c r="G57" s="200"/>
      <c r="H57" s="200"/>
      <c r="I57" s="200"/>
      <c r="J57" s="200"/>
      <c r="K57" s="200"/>
      <c r="L57" s="200"/>
      <c r="M57" s="308" t="inlineStr">
        <is>
          <t xml:space="preserve">market-researcher | peer-researcher | as-of: </t>
        </is>
      </c>
    </row>
    <row r="58" ht="17" customHeight="1" s="74">
      <c r="A58" s="310" t="inlineStr">
        <is>
          <t>ROA</t>
        </is>
      </c>
      <c r="B58" s="508"/>
      <c r="C58" s="508"/>
      <c r="D58" s="508"/>
      <c r="E58" s="508"/>
      <c r="F58" s="200"/>
      <c r="G58" s="200"/>
      <c r="H58" s="200"/>
      <c r="I58" s="200"/>
      <c r="J58" s="200"/>
      <c r="K58" s="200"/>
      <c r="L58" s="200"/>
      <c r="M58" s="308"/>
    </row>
    <row r="59" ht="17" customHeight="1" s="74">
      <c r="A59" s="310" t="inlineStr">
        <is>
          <t>Asset Turnover</t>
        </is>
      </c>
      <c r="B59" s="508"/>
      <c r="C59" s="508"/>
      <c r="D59" s="508"/>
      <c r="E59" s="508"/>
      <c r="F59" s="200"/>
      <c r="G59" s="200"/>
      <c r="H59" s="200"/>
      <c r="I59" s="200"/>
      <c r="J59" s="200"/>
      <c r="K59" s="200"/>
      <c r="L59" s="200"/>
      <c r="M59" s="308"/>
    </row>
    <row r="60" ht="17" customHeight="1" s="74">
      <c r="A60" s="310" t="inlineStr">
        <is>
          <t>Net Debt / EBITDA</t>
        </is>
      </c>
      <c r="B60" s="508"/>
      <c r="C60" s="508"/>
      <c r="D60" s="508"/>
      <c r="E60" s="508"/>
      <c r="F60" s="200"/>
      <c r="G60" s="200"/>
      <c r="H60" s="200"/>
      <c r="I60" s="200"/>
      <c r="J60" s="200"/>
      <c r="K60" s="200"/>
      <c r="L60" s="200"/>
      <c r="M60" s="308"/>
    </row>
    <row r="61" ht="17" customHeight="1" s="74">
      <c r="A61" s="310" t="inlineStr">
        <is>
          <t>EV / EBITDA</t>
        </is>
      </c>
      <c r="B61" s="311" t="inlineStr">
        <is>
          <t>MARKET_SOURCED</t>
        </is>
      </c>
      <c r="C61" s="311" t="inlineStr">
        <is>
          <t>MARKET_SOURCED</t>
        </is>
      </c>
      <c r="D61" s="508"/>
      <c r="E61" s="508"/>
      <c r="F61" s="200"/>
      <c r="G61" s="200"/>
      <c r="H61" s="200"/>
      <c r="I61" s="200"/>
      <c r="J61" s="200"/>
      <c r="K61" s="200"/>
      <c r="L61" s="200"/>
      <c r="M61" s="308" t="inlineStr">
        <is>
          <t xml:space="preserve">market-researcher | peer-researcher | as-of: </t>
        </is>
      </c>
    </row>
    <row r="62" ht="17" customHeight="1" s="74">
      <c r="A62" s="310" t="inlineStr">
        <is>
          <t>P / E</t>
        </is>
      </c>
      <c r="B62" s="311" t="inlineStr">
        <is>
          <t>MARKET_SOURCED</t>
        </is>
      </c>
      <c r="C62" s="311" t="inlineStr">
        <is>
          <t>MARKET_SOURCED</t>
        </is>
      </c>
      <c r="D62" s="508"/>
      <c r="E62" s="508"/>
      <c r="F62" s="200"/>
      <c r="G62" s="200"/>
      <c r="H62" s="200"/>
      <c r="I62" s="200"/>
      <c r="J62" s="200"/>
      <c r="K62" s="200"/>
      <c r="L62" s="200"/>
      <c r="M62" s="308" t="inlineStr">
        <is>
          <t xml:space="preserve">market-researcher | peer-researcher | as-of: </t>
        </is>
      </c>
    </row>
  </sheetData>
  <mergeCells count="6">
    <mergeCell ref="A21:E21"/>
    <mergeCell ref="A30:E30"/>
    <mergeCell ref="A26:E26"/>
    <mergeCell ref="A16:E16"/>
    <mergeCell ref="A8:E8"/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74"/>
  <sheetViews>
    <sheetView showGridLines="1" zoomScale="100" workbookViewId="0"/>
  </sheetViews>
  <sheetFormatPr baseColWidth="8" defaultRowHeight="15"/>
  <sheetData>
    <row r="1">
      <c r="A1" s="308" t="inlineStr">
        <is>
          <t>Month</t>
        </is>
      </c>
      <c r="B1" s="308" t="inlineStr">
        <is>
          <t>CRM adjClose</t>
        </is>
      </c>
      <c r="C1" s="308" t="inlineStr">
        <is>
          <t>SPY adjClose (market proxy)</t>
        </is>
      </c>
    </row>
    <row r="2">
      <c r="A2" s="308" t="inlineStr">
        <is>
          <t>2020-06</t>
        </is>
      </c>
      <c r="B2" s="308" t="n">
        <v>184.092159401</v>
      </c>
      <c r="C2" s="308" t="n">
        <v>283.8861316507</v>
      </c>
    </row>
    <row r="3">
      <c r="A3" s="308" t="inlineStr">
        <is>
          <t>2020-07</t>
        </is>
      </c>
      <c r="B3" s="308" t="n">
        <v>191.4821825617</v>
      </c>
      <c r="C3" s="308" t="n">
        <v>300.6048116052</v>
      </c>
    </row>
    <row r="4">
      <c r="A4" s="308" t="inlineStr">
        <is>
          <t>2020-08</t>
        </is>
      </c>
      <c r="B4" s="308" t="n">
        <v>267.9374753679</v>
      </c>
      <c r="C4" s="308" t="n">
        <v>321.5860184424</v>
      </c>
    </row>
    <row r="5">
      <c r="A5" s="308" t="inlineStr">
        <is>
          <t>2020-09</t>
        </is>
      </c>
      <c r="B5" s="308" t="n">
        <v>246.9761463762</v>
      </c>
      <c r="C5" s="308" t="n">
        <v>309.5592456058</v>
      </c>
    </row>
    <row r="6">
      <c r="A6" s="308" t="inlineStr">
        <is>
          <t>2020-10</t>
        </is>
      </c>
      <c r="B6" s="308" t="n">
        <v>228.255409513</v>
      </c>
      <c r="C6" s="308" t="n">
        <v>301.8408314973</v>
      </c>
    </row>
    <row r="7">
      <c r="A7" s="308" t="inlineStr">
        <is>
          <t>2020-11</t>
        </is>
      </c>
      <c r="B7" s="308" t="n">
        <v>241.5515549072</v>
      </c>
      <c r="C7" s="308" t="n">
        <v>334.6741331902</v>
      </c>
    </row>
    <row r="8">
      <c r="A8" s="308" t="inlineStr">
        <is>
          <t>2020-12</t>
        </is>
      </c>
      <c r="B8" s="308" t="n">
        <v>218.6837571745</v>
      </c>
      <c r="C8" s="308" t="n">
        <v>347.0791635841</v>
      </c>
    </row>
    <row r="9">
      <c r="A9" s="308" t="inlineStr">
        <is>
          <t>2021-01</t>
        </is>
      </c>
      <c r="B9" s="308" t="n">
        <v>221.6613861874</v>
      </c>
      <c r="C9" s="308" t="n">
        <v>343.5422757772</v>
      </c>
    </row>
    <row r="10">
      <c r="A10" s="308" t="inlineStr">
        <is>
          <t>2021-02</t>
        </is>
      </c>
      <c r="B10" s="308" t="n">
        <v>212.7579806241</v>
      </c>
      <c r="C10" s="308" t="n">
        <v>353.0946578069</v>
      </c>
    </row>
    <row r="11">
      <c r="A11" s="308" t="inlineStr">
        <is>
          <t>2021-03</t>
        </is>
      </c>
      <c r="B11" s="308" t="n">
        <v>208.2080062579</v>
      </c>
      <c r="C11" s="308" t="n">
        <v>369.1269350071</v>
      </c>
    </row>
    <row r="12">
      <c r="A12" s="308" t="inlineStr">
        <is>
          <t>2021-04</t>
        </is>
      </c>
      <c r="B12" s="308" t="n">
        <v>226.3391136136</v>
      </c>
      <c r="C12" s="308" t="n">
        <v>388.6576085041</v>
      </c>
    </row>
    <row r="13">
      <c r="A13" s="308" t="inlineStr">
        <is>
          <t>2021-05</t>
        </is>
      </c>
      <c r="B13" s="308" t="n">
        <v>233.9846428942</v>
      </c>
      <c r="C13" s="308" t="n">
        <v>391.2095419988</v>
      </c>
    </row>
    <row r="14">
      <c r="A14" s="308" t="inlineStr">
        <is>
          <t>2021-06</t>
        </is>
      </c>
      <c r="B14" s="308" t="n">
        <v>240.047999663</v>
      </c>
      <c r="C14" s="308" t="n">
        <v>400.0010900298</v>
      </c>
    </row>
    <row r="15">
      <c r="A15" s="308" t="inlineStr">
        <is>
          <t>2021-07</t>
        </is>
      </c>
      <c r="B15" s="308" t="n">
        <v>237.7484445838</v>
      </c>
      <c r="C15" s="308" t="n">
        <v>409.766102857</v>
      </c>
    </row>
    <row r="16">
      <c r="A16" s="308" t="inlineStr">
        <is>
          <t>2021-08</t>
        </is>
      </c>
      <c r="B16" s="308" t="n">
        <v>260.6850324257</v>
      </c>
      <c r="C16" s="308" t="n">
        <v>421.9606882536</v>
      </c>
    </row>
    <row r="17">
      <c r="A17" s="308" t="inlineStr">
        <is>
          <t>2021-09</t>
        </is>
      </c>
      <c r="B17" s="308" t="n">
        <v>266.5321917084</v>
      </c>
      <c r="C17" s="308" t="n">
        <v>402.3077362055</v>
      </c>
    </row>
    <row r="18">
      <c r="A18" s="308" t="inlineStr">
        <is>
          <t>2021-10</t>
        </is>
      </c>
      <c r="B18" s="308" t="n">
        <v>294.5101118394</v>
      </c>
      <c r="C18" s="308" t="n">
        <v>430.5350884382</v>
      </c>
    </row>
    <row r="19">
      <c r="A19" s="308" t="inlineStr">
        <is>
          <t>2021-11</t>
        </is>
      </c>
      <c r="B19" s="308" t="n">
        <v>280.0347074302</v>
      </c>
      <c r="C19" s="308" t="n">
        <v>427.0758081414</v>
      </c>
    </row>
    <row r="20">
      <c r="A20" s="308" t="inlineStr">
        <is>
          <t>2021-12</t>
        </is>
      </c>
      <c r="B20" s="308" t="n">
        <v>249.737577903</v>
      </c>
      <c r="C20" s="308" t="n">
        <v>446.8444096561</v>
      </c>
    </row>
    <row r="21">
      <c r="A21" s="308" t="inlineStr">
        <is>
          <t>2022-01</t>
        </is>
      </c>
      <c r="B21" s="308" t="n">
        <v>228.6091872175</v>
      </c>
      <c r="C21" s="308" t="n">
        <v>423.2772619766</v>
      </c>
    </row>
    <row r="22">
      <c r="A22" s="308" t="inlineStr">
        <is>
          <t>2022-02</t>
        </is>
      </c>
      <c r="B22" s="308" t="n">
        <v>206.8911670244</v>
      </c>
      <c r="C22" s="308" t="n">
        <v>410.7833808913</v>
      </c>
    </row>
    <row r="23">
      <c r="A23" s="308" t="inlineStr">
        <is>
          <t>2022-03</t>
        </is>
      </c>
      <c r="B23" s="308" t="n">
        <v>208.6502283885</v>
      </c>
      <c r="C23" s="308" t="n">
        <v>426.21058511</v>
      </c>
    </row>
    <row r="24">
      <c r="A24" s="308" t="inlineStr">
        <is>
          <t>2022-04</t>
        </is>
      </c>
      <c r="B24" s="308" t="n">
        <v>172.8990259169</v>
      </c>
      <c r="C24" s="308" t="n">
        <v>388.8024999232</v>
      </c>
    </row>
    <row r="25">
      <c r="A25" s="308" t="inlineStr">
        <is>
          <t>2022-05</t>
        </is>
      </c>
      <c r="B25" s="308" t="n">
        <v>157.4703871372</v>
      </c>
      <c r="C25" s="308" t="n">
        <v>389.6801366342</v>
      </c>
    </row>
    <row r="26">
      <c r="A26" s="308" t="inlineStr">
        <is>
          <t>2022-06</t>
        </is>
      </c>
      <c r="B26" s="308" t="n">
        <v>162.1874231972</v>
      </c>
      <c r="C26" s="308" t="n">
        <v>357.543498354</v>
      </c>
    </row>
    <row r="27">
      <c r="A27" s="308" t="inlineStr">
        <is>
          <t>2022-07</t>
        </is>
      </c>
      <c r="B27" s="308" t="n">
        <v>180.8393699513</v>
      </c>
      <c r="C27" s="308" t="n">
        <v>390.4687763734</v>
      </c>
    </row>
    <row r="28">
      <c r="A28" s="308" t="inlineStr">
        <is>
          <t>2022-08</t>
        </is>
      </c>
      <c r="B28" s="308" t="n">
        <v>153.4215978524</v>
      </c>
      <c r="C28" s="308" t="n">
        <v>374.536884505</v>
      </c>
    </row>
    <row r="29">
      <c r="A29" s="308" t="inlineStr">
        <is>
          <t>2022-09</t>
        </is>
      </c>
      <c r="B29" s="308" t="n">
        <v>141.3538472654</v>
      </c>
      <c r="C29" s="308" t="n">
        <v>339.9235382673</v>
      </c>
    </row>
    <row r="30">
      <c r="A30" s="308" t="inlineStr">
        <is>
          <t>2022-10</t>
        </is>
      </c>
      <c r="B30" s="308" t="n">
        <v>159.7797693749</v>
      </c>
      <c r="C30" s="308" t="n">
        <v>367.5510098947</v>
      </c>
    </row>
    <row r="31">
      <c r="A31" s="308" t="inlineStr">
        <is>
          <t>2022-11</t>
        </is>
      </c>
      <c r="B31" s="308" t="n">
        <v>157.4802142957</v>
      </c>
      <c r="C31" s="308" t="n">
        <v>387.9837283185</v>
      </c>
    </row>
    <row r="32">
      <c r="A32" s="308" t="inlineStr">
        <is>
          <t>2022-12</t>
        </is>
      </c>
      <c r="B32" s="308" t="n">
        <v>130.2982939998</v>
      </c>
      <c r="C32" s="308" t="n">
        <v>365.645252784</v>
      </c>
    </row>
    <row r="33">
      <c r="A33" s="308" t="inlineStr">
        <is>
          <t>2023-01</t>
        </is>
      </c>
      <c r="B33" s="308" t="n">
        <v>165.0667806255</v>
      </c>
      <c r="C33" s="308" t="n">
        <v>388.6397049176</v>
      </c>
    </row>
    <row r="34">
      <c r="A34" s="308" t="inlineStr">
        <is>
          <t>2023-02</t>
        </is>
      </c>
      <c r="B34" s="308" t="n">
        <v>160.7821395377</v>
      </c>
      <c r="C34" s="308" t="n">
        <v>378.8682578986</v>
      </c>
    </row>
    <row r="35">
      <c r="A35" s="308" t="inlineStr">
        <is>
          <t>2023-03</t>
        </is>
      </c>
      <c r="B35" s="308" t="n">
        <v>196.3269716817</v>
      </c>
      <c r="C35" s="308" t="n">
        <v>392.9337203794</v>
      </c>
    </row>
    <row r="36">
      <c r="A36" s="308" t="inlineStr">
        <is>
          <t>2023-04</t>
        </is>
      </c>
      <c r="B36" s="308" t="n">
        <v>194.941342339</v>
      </c>
      <c r="C36" s="308" t="n">
        <v>399.2108315235</v>
      </c>
    </row>
    <row r="37">
      <c r="A37" s="308" t="inlineStr">
        <is>
          <t>2023-05</t>
        </is>
      </c>
      <c r="B37" s="308" t="n">
        <v>219.5190656435</v>
      </c>
      <c r="C37" s="308" t="n">
        <v>401.0536531438</v>
      </c>
    </row>
    <row r="38">
      <c r="A38" s="308" t="inlineStr">
        <is>
          <t>2023-06</t>
        </is>
      </c>
      <c r="B38" s="308" t="n">
        <v>207.6085495919</v>
      </c>
      <c r="C38" s="308" t="n">
        <v>427.0476200424</v>
      </c>
    </row>
    <row r="39">
      <c r="A39" s="308" t="inlineStr">
        <is>
          <t>2023-07</t>
        </is>
      </c>
      <c r="B39" s="308" t="n">
        <v>221.1208924722</v>
      </c>
      <c r="C39" s="308" t="n">
        <v>441.0262813103</v>
      </c>
    </row>
    <row r="40">
      <c r="A40" s="308" t="inlineStr">
        <is>
          <t>2023-08</t>
        </is>
      </c>
      <c r="B40" s="308" t="n">
        <v>217.6322512195</v>
      </c>
      <c r="C40" s="308" t="n">
        <v>433.8587251536</v>
      </c>
    </row>
    <row r="41">
      <c r="A41" s="308" t="inlineStr">
        <is>
          <t>2023-09</t>
        </is>
      </c>
      <c r="B41" s="308" t="n">
        <v>199.2751192192</v>
      </c>
      <c r="C41" s="308" t="n">
        <v>413.2967305907</v>
      </c>
    </row>
    <row r="42">
      <c r="A42" s="308" t="inlineStr">
        <is>
          <t>2023-10</t>
        </is>
      </c>
      <c r="B42" s="308" t="n">
        <v>197.3588233198</v>
      </c>
      <c r="C42" s="308" t="n">
        <v>404.3246297675</v>
      </c>
    </row>
    <row r="43">
      <c r="A43" s="308" t="inlineStr">
        <is>
          <t>2023-11</t>
        </is>
      </c>
      <c r="B43" s="308" t="n">
        <v>247.5461215668</v>
      </c>
      <c r="C43" s="308" t="n">
        <v>441.2571999663</v>
      </c>
    </row>
    <row r="44">
      <c r="A44" s="308" t="inlineStr">
        <is>
          <t>2023-12</t>
        </is>
      </c>
      <c r="B44" s="308" t="n">
        <v>258.591847674</v>
      </c>
      <c r="C44" s="308" t="n">
        <v>461.4061014052</v>
      </c>
    </row>
    <row r="45">
      <c r="A45" s="308" t="inlineStr">
        <is>
          <t>2024-01</t>
        </is>
      </c>
      <c r="B45" s="308" t="n">
        <v>276.2315971068</v>
      </c>
      <c r="C45" s="308" t="n">
        <v>468.7546616872</v>
      </c>
    </row>
    <row r="46">
      <c r="A46" s="308" t="inlineStr">
        <is>
          <t>2024-02</t>
        </is>
      </c>
      <c r="B46" s="308" t="n">
        <v>303.4823075119</v>
      </c>
      <c r="C46" s="308" t="n">
        <v>493.2175043697</v>
      </c>
    </row>
    <row r="47">
      <c r="A47" s="308" t="inlineStr">
        <is>
          <t>2024-03</t>
        </is>
      </c>
      <c r="B47" s="308" t="n">
        <v>296.3629292236</v>
      </c>
      <c r="C47" s="308" t="n">
        <v>509.3575022438</v>
      </c>
    </row>
    <row r="48">
      <c r="A48" s="308" t="inlineStr">
        <is>
          <t>2024-04</t>
        </is>
      </c>
      <c r="B48" s="308" t="n">
        <v>264.6385755541</v>
      </c>
      <c r="C48" s="308" t="n">
        <v>488.8203853716</v>
      </c>
    </row>
    <row r="49">
      <c r="A49" s="308" t="inlineStr">
        <is>
          <t>2024-05</t>
        </is>
      </c>
      <c r="B49" s="308" t="n">
        <v>230.6903683086</v>
      </c>
      <c r="C49" s="308" t="n">
        <v>513.5447759541</v>
      </c>
    </row>
    <row r="50">
      <c r="A50" s="308" t="inlineStr">
        <is>
          <t>2024-06</t>
        </is>
      </c>
      <c r="B50" s="308" t="n">
        <v>252.9879444299</v>
      </c>
      <c r="C50" s="308" t="n">
        <v>531.6650443674999</v>
      </c>
    </row>
    <row r="51">
      <c r="A51" s="308" t="inlineStr">
        <is>
          <t>2024-07</t>
        </is>
      </c>
      <c r="B51" s="308" t="n">
        <v>255.0642894907</v>
      </c>
      <c r="C51" s="308" t="n">
        <v>538.1030154865</v>
      </c>
    </row>
    <row r="52">
      <c r="A52" s="308" t="inlineStr">
        <is>
          <t>2024-08</t>
        </is>
      </c>
      <c r="B52" s="308" t="n">
        <v>249.249454452</v>
      </c>
      <c r="C52" s="308" t="n">
        <v>550.6761093107</v>
      </c>
    </row>
    <row r="53">
      <c r="A53" s="308" t="inlineStr">
        <is>
          <t>2024-09</t>
        </is>
      </c>
      <c r="B53" s="308" t="n">
        <v>270.1865271297</v>
      </c>
      <c r="C53" s="308" t="n">
        <v>562.2453646183</v>
      </c>
    </row>
    <row r="54">
      <c r="A54" s="308" t="inlineStr">
        <is>
          <t>2024-10</t>
        </is>
      </c>
      <c r="B54" s="308" t="n">
        <v>287.619189689</v>
      </c>
      <c r="C54" s="308" t="n">
        <v>557.2281165235</v>
      </c>
    </row>
    <row r="55">
      <c r="A55" s="308" t="inlineStr">
        <is>
          <t>2024-11</t>
        </is>
      </c>
      <c r="B55" s="308" t="n">
        <v>325.7420338589</v>
      </c>
      <c r="C55" s="308" t="n">
        <v>590.4575858386</v>
      </c>
    </row>
    <row r="56">
      <c r="A56" s="308" t="inlineStr">
        <is>
          <t>2024-12</t>
        </is>
      </c>
      <c r="B56" s="308" t="n">
        <v>330.4176202605</v>
      </c>
      <c r="C56" s="308" t="n">
        <v>576.2277005713</v>
      </c>
    </row>
    <row r="57">
      <c r="A57" s="308" t="inlineStr">
        <is>
          <t>2025-01</t>
        </is>
      </c>
      <c r="B57" s="308" t="n">
        <v>337.7013754165</v>
      </c>
      <c r="C57" s="308" t="n">
        <v>591.7031032586</v>
      </c>
    </row>
    <row r="58">
      <c r="A58" s="308" t="inlineStr">
        <is>
          <t>2025-02</t>
        </is>
      </c>
      <c r="B58" s="308" t="n">
        <v>294.3645146849</v>
      </c>
      <c r="C58" s="308" t="n">
        <v>584.1915354993</v>
      </c>
    </row>
    <row r="59">
      <c r="A59" s="308" t="inlineStr">
        <is>
          <t>2025-03</t>
        </is>
      </c>
      <c r="B59" s="308" t="n">
        <v>265.2196110822</v>
      </c>
      <c r="C59" s="308" t="n">
        <v>551.6398309809</v>
      </c>
    </row>
    <row r="60">
      <c r="A60" s="308" t="inlineStr">
        <is>
          <t>2025-04</t>
        </is>
      </c>
      <c r="B60" s="308" t="n">
        <v>265.9985478414</v>
      </c>
      <c r="C60" s="308" t="n">
        <v>546.8570261752</v>
      </c>
    </row>
    <row r="61">
      <c r="A61" s="308" t="inlineStr">
        <is>
          <t>2025-05</t>
        </is>
      </c>
      <c r="B61" s="308" t="n">
        <v>262.6922505328</v>
      </c>
      <c r="C61" s="308" t="n">
        <v>581.2241906037</v>
      </c>
    </row>
    <row r="62">
      <c r="A62" s="308" t="inlineStr">
        <is>
          <t>2025-06</t>
        </is>
      </c>
      <c r="B62" s="308" t="n">
        <v>270.3711207487</v>
      </c>
      <c r="C62" s="308" t="n">
        <v>611.0954844284</v>
      </c>
    </row>
    <row r="63">
      <c r="A63" s="308" t="inlineStr">
        <is>
          <t>2025-07</t>
        </is>
      </c>
      <c r="B63" s="308" t="n">
        <v>256.1332341597</v>
      </c>
      <c r="C63" s="308" t="n">
        <v>625.1699179372</v>
      </c>
    </row>
    <row r="64">
      <c r="A64" s="308" t="inlineStr">
        <is>
          <t>2025-08</t>
        </is>
      </c>
      <c r="B64" s="308" t="n">
        <v>254.0709218961</v>
      </c>
      <c r="C64" s="308" t="n">
        <v>637.9981261317999</v>
      </c>
    </row>
    <row r="65">
      <c r="A65" s="308" t="inlineStr">
        <is>
          <t>2025-09</t>
        </is>
      </c>
      <c r="B65" s="308" t="n">
        <v>235.3882087734</v>
      </c>
      <c r="C65" s="308" t="n">
        <v>660.7149899586</v>
      </c>
    </row>
    <row r="66">
      <c r="A66" s="308" t="inlineStr">
        <is>
          <t>2025-10</t>
        </is>
      </c>
      <c r="B66" s="308" t="n">
        <v>258.6390018847</v>
      </c>
      <c r="C66" s="308" t="n">
        <v>676.4647183211</v>
      </c>
    </row>
    <row r="67">
      <c r="A67" s="308" t="inlineStr">
        <is>
          <t>2025-11</t>
        </is>
      </c>
      <c r="B67" s="308" t="n">
        <v>228.9721419857</v>
      </c>
      <c r="C67" s="308" t="n">
        <v>677.7838076613</v>
      </c>
    </row>
    <row r="68">
      <c r="A68" s="308" t="inlineStr">
        <is>
          <t>2025-12</t>
        </is>
      </c>
      <c r="B68" s="308" t="n">
        <v>263.5328818438</v>
      </c>
      <c r="C68" s="308" t="n">
        <v>678.3067456674</v>
      </c>
    </row>
    <row r="69">
      <c r="A69" s="308" t="inlineStr">
        <is>
          <t>2026-01</t>
        </is>
      </c>
      <c r="B69" s="308" t="n">
        <v>211.1864236406</v>
      </c>
      <c r="C69" s="308" t="n">
        <v>688.3034942507001</v>
      </c>
    </row>
    <row r="70">
      <c r="A70" s="308" t="inlineStr">
        <is>
          <t>2026-02</t>
        </is>
      </c>
      <c r="B70" s="308" t="n">
        <v>193.777396302</v>
      </c>
      <c r="C70" s="308" t="n">
        <v>682.3551801683</v>
      </c>
    </row>
    <row r="71">
      <c r="A71" s="308" t="inlineStr">
        <is>
          <t>2026-03</t>
        </is>
      </c>
      <c r="B71" s="308" t="n">
        <v>185.6996076169</v>
      </c>
      <c r="C71" s="308" t="n">
        <v>648.6864324889</v>
      </c>
    </row>
    <row r="72">
      <c r="A72" s="308" t="inlineStr">
        <is>
          <t>2026-04</t>
        </is>
      </c>
      <c r="B72" s="308" t="n">
        <v>176.0645844568</v>
      </c>
      <c r="C72" s="308" t="n">
        <v>716.8327206883999</v>
      </c>
    </row>
    <row r="73">
      <c r="A73" s="308" t="inlineStr">
        <is>
          <t>2026-05</t>
        </is>
      </c>
      <c r="B73" s="308" t="n">
        <v>190.5961711307</v>
      </c>
      <c r="C73" s="308" t="n">
        <v>754.5565587988</v>
      </c>
    </row>
    <row r="74">
      <c r="A74" s="308" t="inlineStr">
        <is>
          <t>2026-06</t>
        </is>
      </c>
      <c r="B74" s="308" t="n">
        <v>158.37</v>
      </c>
      <c r="C74" s="308" t="n">
        <v>728.99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2026-04-08T08:40:58Z</dcterms:created>
  <dcterms:modified xmlns:dcterms="http://purl.org/dc/terms/" xmlns:xsi="http://www.w3.org/2001/XMLSchema-instance" xsi:type="dcterms:W3CDTF">2026-06-29T10:25:57Z</dcterms:modified>
  <cp:lastModifiedBy>Francesco Laconi</cp:lastModifiedBy>
  <cp:revision>16</cp:revision>
</cp:coreProperties>
</file>