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8000" tabRatio="500" firstSheet="0" activeTab="3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Market" sheetId="2" state="visible" r:id="rId2"/>
    <sheet xmlns:r="http://schemas.openxmlformats.org/officeDocument/2006/relationships" name="Data" sheetId="3" state="visible" r:id="rId3"/>
    <sheet xmlns:r="http://schemas.openxmlformats.org/officeDocument/2006/relationships" name="Valuation" sheetId="4" state="visible" r:id="rId4"/>
    <sheet xmlns:r="http://schemas.openxmlformats.org/officeDocument/2006/relationships" name="Metrics" sheetId="5" state="visible" r:id="rId5"/>
    <sheet xmlns:r="http://schemas.openxmlformats.org/officeDocument/2006/relationships" name="Peers" sheetId="6" state="visible" r:id="rId6"/>
    <sheet xmlns:r="http://schemas.openxmlformats.org/officeDocument/2006/relationships" name="PriceHistory" sheetId="7" state="visible" r:id="rId7"/>
    <sheet xmlns:r="http://schemas.openxmlformats.org/officeDocument/2006/relationships" name="ChartData" sheetId="8" state="hidden" r:id="rId8"/>
  </sheets>
  <definedNames>
    <definedName name="_xlnm.Print_Area" localSheetId="0">'Dashboard'!$A$1:$M$354</definedName>
  </definedNames>
  <calcPr calcId="191029" fullCalcOnLoad="1" iterateDelta="0.0001"/>
</workbook>
</file>

<file path=xl/styles.xml><?xml version="1.0" encoding="utf-8"?>
<styleSheet xmlns="http://schemas.openxmlformats.org/spreadsheetml/2006/main">
  <numFmts count="8">
    <numFmt numFmtId="164" formatCode="\$#,##0.00"/>
    <numFmt numFmtId="165" formatCode="0.0%"/>
    <numFmt numFmtId="166" formatCode="#,##0.0"/>
    <numFmt numFmtId="167" formatCode="0.0\x"/>
    <numFmt numFmtId="168" formatCode="0.0000"/>
    <numFmt numFmtId="169" formatCode="0.0"/>
    <numFmt numFmtId="170" formatCode="$#,##0"/>
    <numFmt numFmtId="171" formatCode="0.0&quot;×&quot;"/>
  </numFmts>
  <fonts count="55">
    <font>
      <name val="Calibri"/>
      <charset val="1"/>
      <family val="2"/>
      <color theme="1"/>
      <sz val="11"/>
    </font>
    <font>
      <name val="Helvetica"/>
      <family val="2"/>
      <b val="1"/>
      <color rgb="FF990013"/>
      <sz val="13"/>
    </font>
    <font>
      <name val="Helvetica"/>
      <family val="2"/>
      <color theme="1"/>
      <sz val="11"/>
    </font>
    <font>
      <name val="Helvetica"/>
      <family val="2"/>
      <b val="1"/>
      <color rgb="FF990013"/>
      <sz val="11"/>
    </font>
    <font>
      <name val="Helvetica"/>
      <family val="2"/>
      <b val="1"/>
      <color rgb="FFFFFFFF"/>
      <sz val="11"/>
    </font>
    <font>
      <name val="Helvetica"/>
      <family val="2"/>
      <color rgb="FF000000"/>
      <sz val="11"/>
    </font>
    <font>
      <name val="Helvetica"/>
      <family val="2"/>
      <b val="1"/>
      <color rgb="FF000000"/>
      <sz val="11"/>
    </font>
    <font>
      <name val="Helvetica"/>
      <family val="2"/>
      <i val="1"/>
      <color rgb="FF4A4A4A"/>
      <sz val="11"/>
    </font>
    <font>
      <name val="Helvetica"/>
      <family val="2"/>
      <b val="1"/>
      <i val="1"/>
      <color rgb="FF990013"/>
      <sz val="11"/>
    </font>
    <font>
      <name val="Helvetica"/>
      <family val="2"/>
      <color rgb="FF0000FF"/>
      <sz val="11"/>
    </font>
    <font>
      <name val="Calibri"/>
      <b val="1"/>
      <color rgb="00990013"/>
      <sz val="16"/>
    </font>
    <font>
      <name val="Calibri"/>
      <color rgb="00000000"/>
      <sz val="9"/>
    </font>
    <font>
      <name val="Calibri"/>
      <b val="1"/>
      <color rgb="001F4E79"/>
      <sz val="9"/>
    </font>
    <font>
      <name val="Calibri"/>
      <b val="1"/>
      <color rgb="00833C00"/>
      <sz val="9"/>
    </font>
    <font>
      <name val="Calibri"/>
      <b val="1"/>
      <color rgb="00375623"/>
      <sz val="9"/>
    </font>
    <font>
      <name val="Calibri"/>
      <b val="1"/>
      <color rgb="007F6000"/>
      <sz val="9"/>
    </font>
    <font>
      <name val="Calibri"/>
      <b val="1"/>
      <color rgb="00FFFFFF"/>
      <sz val="10"/>
    </font>
    <font>
      <name val="Calibri"/>
      <b val="1"/>
      <color rgb="00000000"/>
      <sz val="10"/>
    </font>
    <font>
      <name val="Calibri"/>
      <color rgb="00000000"/>
      <sz val="10"/>
    </font>
    <font>
      <name val="Calibri"/>
      <color rgb="00808080"/>
      <sz val="9"/>
    </font>
    <font>
      <name val="Calibri"/>
      <i val="1"/>
      <color rgb="00808080"/>
      <sz val="9"/>
    </font>
    <font>
      <name val="Calibri"/>
      <i val="1"/>
      <color rgb="00375623"/>
      <sz val="10"/>
    </font>
    <font>
      <name val="Calibri"/>
      <b val="1"/>
      <color rgb="00FFFFFF"/>
      <sz val="11"/>
    </font>
    <font>
      <name val="Calibri"/>
      <color rgb="000000FF"/>
      <sz val="10"/>
    </font>
    <font>
      <name val="Calibri"/>
      <i val="1"/>
      <color rgb="00666666"/>
      <sz val="9"/>
    </font>
    <font>
      <b val="1"/>
      <color rgb="006B000C"/>
      <sz val="14"/>
    </font>
    <font>
      <b val="1"/>
      <color rgb="00444444"/>
      <sz val="9"/>
    </font>
    <font/>
    <font>
      <name val="Helvetica"/>
      <b val="1"/>
      <color rgb="FF990013"/>
      <sz val="11"/>
    </font>
    <font>
      <name val="Helvetica"/>
      <b val="1"/>
      <i val="1"/>
      <color rgb="FF990013"/>
      <sz val="11"/>
    </font>
    <font>
      <name val="Helvetica"/>
      <color rgb="FF0000FF"/>
      <sz val="11"/>
    </font>
    <font>
      <name val="Helvetica"/>
      <color rgb="FF000000"/>
      <sz val="11"/>
    </font>
    <font>
      <name val="Helvetica"/>
      <b val="1"/>
      <color rgb="FFFFFFFF"/>
      <sz val="11"/>
    </font>
    <font>
      <name val="Helvetica"/>
      <b val="1"/>
      <color rgb="00990013"/>
      <sz val="16"/>
    </font>
    <font>
      <name val="Helvetica"/>
      <color rgb="00000000"/>
      <sz val="9"/>
    </font>
    <font>
      <name val="Helvetica"/>
      <b val="1"/>
      <color rgb="001F4E79"/>
      <sz val="9"/>
    </font>
    <font>
      <name val="Helvetica"/>
      <b val="1"/>
      <color rgb="00833C00"/>
      <sz val="9"/>
    </font>
    <font>
      <name val="Helvetica"/>
      <b val="1"/>
      <color rgb="00375623"/>
      <sz val="9"/>
    </font>
    <font>
      <name val="Helvetica"/>
      <b val="1"/>
      <color rgb="007F6000"/>
      <sz val="9"/>
    </font>
    <font>
      <name val="Helvetica"/>
      <b val="1"/>
      <color rgb="00FFFFFF"/>
      <sz val="10"/>
    </font>
    <font>
      <name val="Helvetica"/>
      <b val="1"/>
      <color rgb="00000000"/>
      <sz val="10"/>
    </font>
    <font>
      <name val="Helvetica"/>
      <i val="1"/>
      <color rgb="00808080"/>
      <sz val="9"/>
    </font>
    <font>
      <name val="Helvetica"/>
      <color rgb="00000000"/>
      <sz val="10"/>
    </font>
    <font>
      <name val="Helvetica"/>
      <i val="1"/>
      <color rgb="00375623"/>
      <sz val="10"/>
    </font>
    <font>
      <name val="Helvetica"/>
      <color theme="1"/>
      <sz val="11"/>
    </font>
    <font>
      <name val="Helvetica"/>
      <i val="1"/>
      <color rgb="00666666"/>
      <sz val="9"/>
    </font>
    <font>
      <name val="Helvetica"/>
      <color rgb="FF1F4E79"/>
      <sz val="11"/>
    </font>
    <font>
      <name val="Helvetica"/>
      <b val="1"/>
      <color rgb="FF990013"/>
      <sz val="12"/>
    </font>
    <font>
      <name val="Helvetica"/>
      <b val="1"/>
      <color rgb="00FFFFFF"/>
      <sz val="11"/>
    </font>
    <font>
      <name val="Helvetica"/>
      <color rgb="000000FF"/>
      <sz val="10"/>
    </font>
    <font>
      <b val="1"/>
      <color rgb="006B000C"/>
      <sz val="16"/>
    </font>
    <font>
      <b val="1"/>
      <color rgb="006B000C"/>
      <sz val="13"/>
    </font>
    <font>
      <b val="1"/>
      <color rgb="00444444"/>
      <sz val="10"/>
    </font>
    <font>
      <b val="1"/>
      <sz val="8"/>
    </font>
    <font>
      <sz val="8"/>
    </font>
  </fonts>
  <fills count="21">
    <fill>
      <patternFill/>
    </fill>
    <fill>
      <patternFill patternType="gray125"/>
    </fill>
    <fill>
      <patternFill patternType="solid">
        <fgColor rgb="FFF2E4B7"/>
        <bgColor rgb="FFD9D9D9"/>
      </patternFill>
    </fill>
    <fill>
      <patternFill patternType="solid">
        <fgColor rgb="FFF5F5F5"/>
        <bgColor rgb="FFF9F9F9"/>
      </patternFill>
    </fill>
    <fill>
      <patternFill patternType="solid">
        <fgColor rgb="FF6B000C"/>
        <bgColor rgb="FF990013"/>
      </patternFill>
    </fill>
    <fill>
      <patternFill patternType="solid">
        <fgColor rgb="FFFFF8E1"/>
        <bgColor rgb="FFF9F9F9"/>
      </patternFill>
    </fill>
    <fill>
      <patternFill patternType="solid">
        <fgColor rgb="00FFFFFF"/>
      </patternFill>
    </fill>
    <fill>
      <patternFill patternType="solid">
        <fgColor rgb="00DDEBF7"/>
      </patternFill>
    </fill>
    <fill>
      <patternFill patternType="solid">
        <fgColor rgb="00FCE4D6"/>
      </patternFill>
    </fill>
    <fill>
      <patternFill patternType="solid">
        <fgColor rgb="00E2EFDA"/>
      </patternFill>
    </fill>
    <fill>
      <patternFill patternType="solid">
        <fgColor rgb="00FFF2CC"/>
      </patternFill>
    </fill>
    <fill>
      <patternFill patternType="solid">
        <fgColor rgb="006B000C"/>
      </patternFill>
    </fill>
    <fill>
      <patternFill patternType="solid">
        <fgColor rgb="003D3D3D"/>
      </patternFill>
    </fill>
    <fill>
      <patternFill patternType="solid">
        <fgColor rgb="00D6D6D6"/>
      </patternFill>
    </fill>
    <fill>
      <patternFill patternType="solid">
        <fgColor rgb="00F5F5F5"/>
      </patternFill>
    </fill>
    <fill>
      <patternFill patternType="solid">
        <fgColor rgb="FFF2E4B7"/>
      </patternFill>
    </fill>
    <fill>
      <patternFill patternType="solid">
        <fgColor rgb="FFF5F5F5"/>
      </patternFill>
    </fill>
    <fill>
      <patternFill patternType="solid">
        <fgColor rgb="FF6B000C"/>
      </patternFill>
    </fill>
    <fill>
      <patternFill patternType="solid">
        <fgColor rgb="FFE2EFDA"/>
      </patternFill>
    </fill>
    <fill>
      <patternFill patternType="solid">
        <fgColor rgb="FFD9D9D9"/>
      </patternFill>
    </fill>
    <fill>
      <patternFill patternType="solid">
        <fgColor rgb="00F2E9DC"/>
      </patternFill>
    </fill>
  </fills>
  <borders count="10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  <border>
      <left/>
      <right/>
      <top style="thin">
        <color rgb="FFD0D0D0"/>
      </top>
      <bottom style="thin">
        <color rgb="FFD0D0D0"/>
      </bottom>
      <diagonal/>
    </border>
    <border>
      <left/>
      <right style="thin">
        <color rgb="FFD0D0D0"/>
      </right>
      <top style="thin">
        <color rgb="FFD0D0D0"/>
      </top>
      <bottom style="thin">
        <color rgb="FFD0D0D0"/>
      </bottom>
      <diagonal/>
    </border>
    <border>
      <left style="thin">
        <color rgb="FFD0D0D0"/>
      </left>
      <right/>
      <top style="thin">
        <color rgb="FFD0D0D0"/>
      </top>
      <bottom style="thin">
        <color rgb="FFD0D0D0"/>
      </bottom>
      <diagonal/>
    </border>
    <border>
      <left/>
      <right/>
      <top style="thin">
        <color rgb="FFD0D0D0"/>
      </top>
      <bottom/>
      <diagonal/>
    </border>
    <border>
      <left/>
      <right style="thin">
        <color rgb="FFD0D0D0"/>
      </right>
      <top style="thin">
        <color rgb="FFD0D0D0"/>
      </top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  <border/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50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2" fillId="0" borderId="0" pivotButton="0" quotePrefix="0" xfId="0"/>
    <xf numFmtId="0" fontId="2" fillId="3" borderId="0" pivotButton="0" quotePrefix="0" xfId="0"/>
    <xf numFmtId="165" fontId="2" fillId="3" borderId="0" pivotButton="0" quotePrefix="0" xfId="0"/>
    <xf numFmtId="164" fontId="3" fillId="0" borderId="1" pivotButton="0" quotePrefix="0" xfId="0"/>
    <xf numFmtId="164" fontId="3" fillId="3" borderId="1" pivotButton="0" quotePrefix="0" xfId="0"/>
    <xf numFmtId="0" fontId="2" fillId="0" borderId="2" pivotButton="0" quotePrefix="0" xfId="0"/>
    <xf numFmtId="0" fontId="2" fillId="0" borderId="3" pivotButton="0" quotePrefix="0" xfId="0"/>
    <xf numFmtId="0" fontId="2" fillId="3" borderId="0" pivotButton="0" quotePrefix="0" xfId="0"/>
    <xf numFmtId="0" fontId="3" fillId="0" borderId="0" pivotButton="0" quotePrefix="0" xfId="0"/>
    <xf numFmtId="0" fontId="3" fillId="2" borderId="0" pivotButton="0" quotePrefix="0" xfId="0"/>
    <xf numFmtId="0" fontId="0" fillId="0" borderId="0" pivotButton="0" quotePrefix="0" xfId="0"/>
    <xf numFmtId="0" fontId="4" fillId="4" borderId="1" applyAlignment="1" pivotButton="0" quotePrefix="0" xfId="0">
      <alignment horizontal="center" vertical="center" wrapText="1"/>
    </xf>
    <xf numFmtId="0" fontId="5" fillId="3" borderId="1" pivotButton="0" quotePrefix="0" xfId="0"/>
    <xf numFmtId="165" fontId="5" fillId="3" borderId="1" applyAlignment="1" pivotButton="0" quotePrefix="0" xfId="0">
      <alignment horizontal="right"/>
    </xf>
    <xf numFmtId="0" fontId="5" fillId="0" borderId="1" pivotButton="0" quotePrefix="0" xfId="0"/>
    <xf numFmtId="165" fontId="5" fillId="0" borderId="1" applyAlignment="1" pivotButton="0" quotePrefix="0" xfId="0">
      <alignment horizontal="right"/>
    </xf>
    <xf numFmtId="166" fontId="5" fillId="0" borderId="1" applyAlignment="1" pivotButton="0" quotePrefix="0" xfId="0">
      <alignment horizontal="right"/>
    </xf>
    <xf numFmtId="166" fontId="5" fillId="3" borderId="1" applyAlignment="1" pivotButton="0" quotePrefix="0" xfId="0">
      <alignment horizontal="right"/>
    </xf>
    <xf numFmtId="164" fontId="5" fillId="3" borderId="1" applyAlignment="1" pivotButton="0" quotePrefix="0" xfId="0">
      <alignment horizontal="right"/>
    </xf>
    <xf numFmtId="164" fontId="5" fillId="0" borderId="1" applyAlignment="1" pivotButton="0" quotePrefix="0" xfId="0">
      <alignment horizontal="right"/>
    </xf>
    <xf numFmtId="3" fontId="5" fillId="3" borderId="1" pivotButton="0" quotePrefix="0" xfId="0"/>
    <xf numFmtId="166" fontId="5" fillId="0" borderId="1" pivotButton="0" quotePrefix="0" xfId="0"/>
    <xf numFmtId="165" fontId="5" fillId="3" borderId="1" pivotButton="0" quotePrefix="0" xfId="0"/>
    <xf numFmtId="165" fontId="5" fillId="0" borderId="1" pivotButton="0" quotePrefix="0" xfId="0"/>
    <xf numFmtId="166" fontId="5" fillId="3" borderId="1" pivotButton="0" quotePrefix="0" xfId="0"/>
    <xf numFmtId="164" fontId="5" fillId="3" borderId="1" pivotButton="0" quotePrefix="0" xfId="0"/>
    <xf numFmtId="164" fontId="5" fillId="0" borderId="1" pivotButton="0" quotePrefix="0" xfId="0"/>
    <xf numFmtId="0" fontId="3" fillId="2" borderId="0" pivotButton="0" quotePrefix="0" xfId="0"/>
    <xf numFmtId="0" fontId="6" fillId="3" borderId="1" pivotButton="0" quotePrefix="0" xfId="0"/>
    <xf numFmtId="0" fontId="7" fillId="0" borderId="1" pivotButton="0" quotePrefix="0" xfId="0"/>
    <xf numFmtId="49" fontId="5" fillId="0" borderId="1" pivotButton="0" quotePrefix="0" xfId="0"/>
    <xf numFmtId="0" fontId="8" fillId="0" borderId="4" pivotButton="0" quotePrefix="0" xfId="0"/>
    <xf numFmtId="0" fontId="6" fillId="0" borderId="1" pivotButton="0" quotePrefix="0" xfId="0"/>
    <xf numFmtId="0" fontId="8" fillId="0" borderId="1" pivotButton="0" quotePrefix="0" xfId="0"/>
    <xf numFmtId="0" fontId="8" fillId="3" borderId="1" pivotButton="0" quotePrefix="0" xfId="0"/>
    <xf numFmtId="0" fontId="4" fillId="4" borderId="1" applyAlignment="1" pivotButton="0" quotePrefix="0" xfId="0">
      <alignment horizontal="center" vertical="center"/>
    </xf>
    <xf numFmtId="0" fontId="5" fillId="5" borderId="1" pivotButton="0" quotePrefix="0" xfId="0"/>
    <xf numFmtId="165" fontId="9" fillId="3" borderId="1" pivotButton="0" quotePrefix="0" xfId="0"/>
    <xf numFmtId="165" fontId="9" fillId="0" borderId="1" pivotButton="0" quotePrefix="0" xfId="0"/>
    <xf numFmtId="166" fontId="9" fillId="3" borderId="1" pivotButton="0" quotePrefix="0" xfId="0"/>
    <xf numFmtId="165" fontId="6" fillId="0" borderId="1" pivotButton="0" quotePrefix="0" xfId="0"/>
    <xf numFmtId="165" fontId="6" fillId="3" borderId="1" pivotButton="0" quotePrefix="0" xfId="0"/>
    <xf numFmtId="0" fontId="4" fillId="4" borderId="1" applyAlignment="1" pivotButton="0" quotePrefix="0" xfId="0">
      <alignment horizontal="center" wrapText="1"/>
    </xf>
    <xf numFmtId="167" fontId="9" fillId="0" borderId="1" pivotButton="0" quotePrefix="0" xfId="0"/>
    <xf numFmtId="3" fontId="6" fillId="3" borderId="1" pivotButton="0" quotePrefix="0" xfId="0"/>
    <xf numFmtId="3" fontId="5" fillId="0" borderId="1" pivotButton="0" quotePrefix="0" xfId="0"/>
    <xf numFmtId="167" fontId="5" fillId="0" borderId="1" pivotButton="0" quotePrefix="0" xfId="0"/>
    <xf numFmtId="168" fontId="5" fillId="0" borderId="1" pivotButton="0" quotePrefix="0" xfId="0"/>
    <xf numFmtId="3" fontId="6" fillId="0" borderId="1" pivotButton="0" quotePrefix="0" xfId="0"/>
    <xf numFmtId="3" fontId="9" fillId="3" borderId="1" pivotButton="0" quotePrefix="0" xfId="0"/>
    <xf numFmtId="167" fontId="9" fillId="3" borderId="1" pivotButton="0" quotePrefix="0" xfId="0"/>
    <xf numFmtId="164" fontId="6" fillId="3" borderId="1" pivotButton="0" quotePrefix="0" xfId="0"/>
    <xf numFmtId="0" fontId="4" fillId="4" borderId="1" applyAlignment="1" pivotButton="0" quotePrefix="0" xfId="0">
      <alignment horizontal="center"/>
    </xf>
    <xf numFmtId="165" fontId="4" fillId="4" borderId="1" applyAlignment="1" pivotButton="0" quotePrefix="0" xfId="0">
      <alignment horizontal="center"/>
    </xf>
    <xf numFmtId="165" fontId="5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center"/>
    </xf>
    <xf numFmtId="165" fontId="6" fillId="0" borderId="1" applyAlignment="1" pivotButton="0" quotePrefix="0" xfId="0">
      <alignment horizontal="center"/>
    </xf>
    <xf numFmtId="164" fontId="6" fillId="0" borderId="1" pivotButton="0" quotePrefix="0" xfId="0"/>
    <xf numFmtId="167" fontId="4" fillId="4" borderId="1" applyAlignment="1" pivotButton="0" quotePrefix="0" xfId="0">
      <alignment horizontal="center"/>
    </xf>
    <xf numFmtId="0" fontId="9" fillId="0" borderId="1" pivotButton="0" quotePrefix="0" xfId="0"/>
    <xf numFmtId="0" fontId="0" fillId="0" borderId="2" pivotButton="0" quotePrefix="0" xfId="0"/>
    <xf numFmtId="0" fontId="0" fillId="0" borderId="3" pivotButton="0" quotePrefix="0" xfId="0"/>
    <xf numFmtId="0" fontId="9" fillId="3" borderId="1" pivotButton="0" quotePrefix="0" xfId="0"/>
    <xf numFmtId="0" fontId="9" fillId="0" borderId="1" pivotButton="0" quotePrefix="0" xfId="0"/>
    <xf numFmtId="0" fontId="9" fillId="3" borderId="1" pivotButton="0" quotePrefix="0" xfId="0"/>
    <xf numFmtId="3" fontId="9" fillId="3" borderId="1" applyAlignment="1" pivotButton="0" quotePrefix="0" xfId="0">
      <alignment horizontal="right"/>
    </xf>
    <xf numFmtId="3" fontId="9" fillId="0" borderId="1" applyAlignment="1" pivotButton="0" quotePrefix="0" xfId="0">
      <alignment horizontal="right"/>
    </xf>
    <xf numFmtId="3" fontId="5" fillId="3" borderId="1" applyAlignment="1" pivotButton="0" quotePrefix="0" xfId="0">
      <alignment horizontal="right"/>
    </xf>
    <xf numFmtId="3" fontId="5" fillId="0" borderId="1" applyAlignment="1" pivotButton="0" quotePrefix="0" xfId="0">
      <alignment horizontal="right"/>
    </xf>
    <xf numFmtId="164" fontId="9" fillId="0" borderId="1" applyAlignment="1" pivotButton="0" quotePrefix="0" xfId="0">
      <alignment horizontal="right"/>
    </xf>
    <xf numFmtId="166" fontId="9" fillId="3" borderId="1" applyAlignment="1" pivotButton="0" quotePrefix="0" xfId="0">
      <alignment horizontal="right"/>
    </xf>
    <xf numFmtId="0" fontId="0" fillId="0" borderId="0" pivotButton="0" quotePrefix="0" xfId="0"/>
    <xf numFmtId="166" fontId="9" fillId="3" borderId="1" applyAlignment="1" pivotButton="0" quotePrefix="0" xfId="0">
      <alignment horizontal="right"/>
    </xf>
    <xf numFmtId="165" fontId="9" fillId="3" borderId="1" pivotButton="0" quotePrefix="0" xfId="0"/>
    <xf numFmtId="165" fontId="9" fillId="0" borderId="1" pivotButton="0" quotePrefix="0" xfId="0"/>
    <xf numFmtId="166" fontId="9" fillId="3" borderId="1" pivotButton="0" quotePrefix="0" xfId="0"/>
    <xf numFmtId="165" fontId="6" fillId="0" borderId="1" pivotButton="0" quotePrefix="0" xfId="0"/>
    <xf numFmtId="165" fontId="6" fillId="3" borderId="1" pivotButton="0" quotePrefix="0" xfId="0"/>
    <xf numFmtId="165" fontId="5" fillId="0" borderId="1" pivotButton="0" quotePrefix="0" xfId="0"/>
    <xf numFmtId="165" fontId="2" fillId="3" borderId="0" pivotButton="0" quotePrefix="0" xfId="0"/>
    <xf numFmtId="166" fontId="5" fillId="3" borderId="1" pivotButton="0" quotePrefix="0" xfId="0"/>
    <xf numFmtId="165" fontId="5" fillId="3" borderId="1" pivotButton="0" quotePrefix="0" xfId="0"/>
    <xf numFmtId="165" fontId="4" fillId="4" borderId="1" applyAlignment="1" pivotButton="0" quotePrefix="0" xfId="0">
      <alignment horizontal="center"/>
    </xf>
    <xf numFmtId="165" fontId="5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center"/>
    </xf>
    <xf numFmtId="165" fontId="6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right"/>
    </xf>
    <xf numFmtId="165" fontId="5" fillId="0" borderId="1" applyAlignment="1" pivotButton="0" quotePrefix="0" xfId="0">
      <alignment horizontal="right"/>
    </xf>
    <xf numFmtId="166" fontId="5" fillId="0" borderId="1" applyAlignment="1" pivotButton="0" quotePrefix="0" xfId="0">
      <alignment horizontal="right"/>
    </xf>
    <xf numFmtId="166" fontId="5" fillId="3" borderId="1" applyAlignment="1" pivotButton="0" quotePrefix="0" xfId="0">
      <alignment horizontal="right"/>
    </xf>
    <xf numFmtId="166" fontId="5" fillId="0" borderId="1" pivotButton="0" quotePrefix="0" xfId="0"/>
    <xf numFmtId="0" fontId="10" fillId="6" borderId="0" applyAlignment="1" pivotButton="0" quotePrefix="0" xfId="0">
      <alignment horizontal="left" vertical="center"/>
    </xf>
    <xf numFmtId="0" fontId="0" fillId="6" borderId="0" pivotButton="0" quotePrefix="0" xfId="0"/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7" fillId="8" borderId="0" applyAlignment="1" pivotButton="0" quotePrefix="0" xfId="0">
      <alignment horizontal="left" vertical="center"/>
    </xf>
    <xf numFmtId="0" fontId="18" fillId="8" borderId="0" applyAlignment="1" pivotButton="0" quotePrefix="0" xfId="0">
      <alignment horizontal="center" vertical="center"/>
    </xf>
    <xf numFmtId="0" fontId="19" fillId="8" borderId="0" applyAlignment="1" pivotButton="0" quotePrefix="0" xfId="0">
      <alignment horizontal="center" vertical="center"/>
    </xf>
    <xf numFmtId="0" fontId="20" fillId="8" borderId="0" applyAlignment="1" pivotButton="0" quotePrefix="0" xfId="0">
      <alignment horizontal="left" vertical="center"/>
    </xf>
    <xf numFmtId="0" fontId="0" fillId="8" borderId="0" pivotButton="0" quotePrefix="0" xfId="0"/>
    <xf numFmtId="0" fontId="17" fillId="7" borderId="0" applyAlignment="1" pivotButton="0" quotePrefix="0" xfId="0">
      <alignment horizontal="left" vertical="center"/>
    </xf>
    <xf numFmtId="0" fontId="18" fillId="7" borderId="0" applyAlignment="1" pivotButton="0" quotePrefix="0" xfId="0">
      <alignment horizontal="center" vertical="center"/>
    </xf>
    <xf numFmtId="0" fontId="19" fillId="7" borderId="0" applyAlignment="1" pivotButton="0" quotePrefix="0" xfId="0">
      <alignment horizontal="center" vertical="center"/>
    </xf>
    <xf numFmtId="0" fontId="20" fillId="7" borderId="0" applyAlignment="1" pivotButton="0" quotePrefix="0" xfId="0">
      <alignment horizontal="left" vertical="center"/>
    </xf>
    <xf numFmtId="0" fontId="0" fillId="7" borderId="0" pivotButton="0" quotePrefix="0" xfId="0"/>
    <xf numFmtId="0" fontId="17" fillId="9" borderId="0" applyAlignment="1" pivotButton="0" quotePrefix="0" xfId="0">
      <alignment horizontal="left" vertical="center"/>
    </xf>
    <xf numFmtId="0" fontId="21" fillId="9" borderId="0" applyAlignment="1" pivotButton="0" quotePrefix="0" xfId="0">
      <alignment horizontal="center" vertical="center"/>
    </xf>
    <xf numFmtId="0" fontId="19" fillId="9" borderId="0" applyAlignment="1" pivotButton="0" quotePrefix="0" xfId="0">
      <alignment horizontal="center" vertical="center"/>
    </xf>
    <xf numFmtId="0" fontId="20" fillId="9" borderId="0" applyAlignment="1" pivotButton="0" quotePrefix="0" xfId="0">
      <alignment horizontal="left" vertical="center"/>
    </xf>
    <xf numFmtId="0" fontId="0" fillId="9" borderId="0" pivotButton="0" quotePrefix="0" xfId="0"/>
    <xf numFmtId="168" fontId="18" fillId="8" borderId="0" applyAlignment="1" pivotButton="0" quotePrefix="0" xfId="0">
      <alignment horizontal="center" vertical="center"/>
    </xf>
    <xf numFmtId="0" fontId="17" fillId="10" borderId="0" applyAlignment="1" pivotButton="0" quotePrefix="0" xfId="0">
      <alignment horizontal="left" vertical="center"/>
    </xf>
    <xf numFmtId="0" fontId="18" fillId="10" borderId="0" applyAlignment="1" pivotButton="0" quotePrefix="0" xfId="0">
      <alignment horizontal="center" vertical="center"/>
    </xf>
    <xf numFmtId="0" fontId="19" fillId="10" borderId="0" applyAlignment="1" pivotButton="0" quotePrefix="0" xfId="0">
      <alignment horizontal="center" vertical="center"/>
    </xf>
    <xf numFmtId="0" fontId="20" fillId="10" borderId="0" applyAlignment="1" pivotButton="0" quotePrefix="0" xfId="0">
      <alignment horizontal="left" vertical="center"/>
    </xf>
    <xf numFmtId="0" fontId="0" fillId="10" borderId="0" pivotButton="0" quotePrefix="0" xfId="0"/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0" fontId="0" fillId="12" borderId="0" pivotButton="0" quotePrefix="0" xfId="0"/>
    <xf numFmtId="2" fontId="18" fillId="8" borderId="0" applyAlignment="1" pivotButton="0" quotePrefix="0" xfId="0">
      <alignment horizontal="center" vertical="center"/>
    </xf>
    <xf numFmtId="0" fontId="20" fillId="6" borderId="0" applyAlignment="1" pivotButton="0" quotePrefix="0" xfId="0">
      <alignment horizontal="left" vertical="center"/>
    </xf>
    <xf numFmtId="169" fontId="18" fillId="8" borderId="0" applyAlignment="1" pivotButton="0" quotePrefix="0" xfId="0">
      <alignment horizontal="center" vertical="center"/>
    </xf>
    <xf numFmtId="0" fontId="10" fillId="6" borderId="0" applyAlignment="1" pivotButton="0" quotePrefix="0" xfId="0">
      <alignment horizontal="left" vertical="center"/>
    </xf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7" fillId="8" borderId="0" applyAlignment="1" pivotButton="0" quotePrefix="0" xfId="0">
      <alignment horizontal="left" vertical="center"/>
    </xf>
    <xf numFmtId="0" fontId="18" fillId="8" borderId="0" applyAlignment="1" pivotButton="0" quotePrefix="0" xfId="0">
      <alignment horizontal="center" vertical="center"/>
    </xf>
    <xf numFmtId="0" fontId="19" fillId="8" borderId="0" applyAlignment="1" pivotButton="0" quotePrefix="0" xfId="0">
      <alignment horizontal="center" vertical="center"/>
    </xf>
    <xf numFmtId="0" fontId="20" fillId="8" borderId="0" applyAlignment="1" pivotButton="0" quotePrefix="0" xfId="0">
      <alignment horizontal="left" vertical="center"/>
    </xf>
    <xf numFmtId="0" fontId="17" fillId="7" borderId="0" applyAlignment="1" pivotButton="0" quotePrefix="0" xfId="0">
      <alignment horizontal="left" vertical="center"/>
    </xf>
    <xf numFmtId="0" fontId="18" fillId="7" borderId="0" applyAlignment="1" pivotButton="0" quotePrefix="0" xfId="0">
      <alignment horizontal="center" vertical="center"/>
    </xf>
    <xf numFmtId="0" fontId="19" fillId="7" borderId="0" applyAlignment="1" pivotButton="0" quotePrefix="0" xfId="0">
      <alignment horizontal="center" vertical="center"/>
    </xf>
    <xf numFmtId="0" fontId="20" fillId="7" borderId="0" applyAlignment="1" pivotButton="0" quotePrefix="0" xfId="0">
      <alignment horizontal="left" vertical="center"/>
    </xf>
    <xf numFmtId="0" fontId="17" fillId="9" borderId="0" applyAlignment="1" pivotButton="0" quotePrefix="0" xfId="0">
      <alignment horizontal="left" vertical="center"/>
    </xf>
    <xf numFmtId="0" fontId="21" fillId="9" borderId="0" applyAlignment="1" pivotButton="0" quotePrefix="0" xfId="0">
      <alignment horizontal="center" vertical="center"/>
    </xf>
    <xf numFmtId="0" fontId="19" fillId="9" borderId="0" applyAlignment="1" pivotButton="0" quotePrefix="0" xfId="0">
      <alignment horizontal="center" vertical="center"/>
    </xf>
    <xf numFmtId="0" fontId="20" fillId="9" borderId="0" applyAlignment="1" pivotButton="0" quotePrefix="0" xfId="0">
      <alignment horizontal="left" vertical="center"/>
    </xf>
    <xf numFmtId="168" fontId="18" fillId="8" borderId="0" applyAlignment="1" pivotButton="0" quotePrefix="0" xfId="0">
      <alignment horizontal="center" vertical="center"/>
    </xf>
    <xf numFmtId="0" fontId="17" fillId="10" borderId="0" applyAlignment="1" pivotButton="0" quotePrefix="0" xfId="0">
      <alignment horizontal="left" vertical="center"/>
    </xf>
    <xf numFmtId="168" fontId="18" fillId="10" borderId="0" applyAlignment="1" pivotButton="0" quotePrefix="0" xfId="0">
      <alignment horizontal="center" vertical="center"/>
    </xf>
    <xf numFmtId="0" fontId="19" fillId="10" borderId="0" applyAlignment="1" pivotButton="0" quotePrefix="0" xfId="0">
      <alignment horizontal="center" vertical="center"/>
    </xf>
    <xf numFmtId="0" fontId="20" fillId="10" borderId="0" applyAlignment="1" pivotButton="0" quotePrefix="0" xfId="0">
      <alignment horizontal="left" vertical="center"/>
    </xf>
    <xf numFmtId="168" fontId="18" fillId="7" borderId="0" applyAlignment="1" pivotButton="0" quotePrefix="0" xfId="0">
      <alignment horizontal="center" vertical="center"/>
    </xf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2" fontId="18" fillId="8" borderId="0" applyAlignment="1" pivotButton="0" quotePrefix="0" xfId="0">
      <alignment horizontal="center" vertical="center"/>
    </xf>
    <xf numFmtId="0" fontId="20" fillId="6" borderId="0" applyAlignment="1" pivotButton="0" quotePrefix="0" xfId="0">
      <alignment horizontal="left" vertical="center"/>
    </xf>
    <xf numFmtId="169" fontId="18" fillId="8" borderId="0" applyAlignment="1" pivotButton="0" quotePrefix="0" xfId="0">
      <alignment horizontal="center" vertical="center"/>
    </xf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3" fontId="5" fillId="9" borderId="1" applyAlignment="1" pivotButton="0" quotePrefix="0" xfId="0">
      <alignment horizontal="right"/>
    </xf>
    <xf numFmtId="3" fontId="9" fillId="9" borderId="1" applyAlignment="1" pivotButton="0" quotePrefix="0" xfId="0">
      <alignment horizontal="right"/>
    </xf>
    <xf numFmtId="0" fontId="2" fillId="6" borderId="0" pivotButton="0" quotePrefix="0" xfId="0"/>
    <xf numFmtId="165" fontId="9" fillId="8" borderId="1" pivotButton="0" quotePrefix="0" xfId="0"/>
    <xf numFmtId="166" fontId="9" fillId="8" borderId="1" pivotButton="0" quotePrefix="0" xfId="0"/>
    <xf numFmtId="165" fontId="9" fillId="10" borderId="1" pivotButton="0" quotePrefix="0" xfId="0"/>
    <xf numFmtId="165" fontId="6" fillId="9" borderId="1" pivotButton="0" quotePrefix="0" xfId="0"/>
    <xf numFmtId="165" fontId="9" fillId="7" borderId="1" pivotButton="0" quotePrefix="0" xfId="0"/>
    <xf numFmtId="167" fontId="9" fillId="10" borderId="1" pivotButton="0" quotePrefix="0" xfId="0"/>
    <xf numFmtId="0" fontId="2" fillId="9" borderId="0" pivotButton="0" quotePrefix="0" xfId="0"/>
    <xf numFmtId="3" fontId="6" fillId="9" borderId="1" pivotButton="0" quotePrefix="0" xfId="0"/>
    <xf numFmtId="3" fontId="5" fillId="9" borderId="1" pivotButton="0" quotePrefix="0" xfId="0"/>
    <xf numFmtId="165" fontId="5" fillId="9" borderId="1" pivotButton="0" quotePrefix="0" xfId="0"/>
    <xf numFmtId="167" fontId="5" fillId="9" borderId="1" pivotButton="0" quotePrefix="0" xfId="0"/>
    <xf numFmtId="165" fontId="2" fillId="9" borderId="0" pivotButton="0" quotePrefix="0" xfId="0"/>
    <xf numFmtId="168" fontId="5" fillId="9" borderId="1" pivotButton="0" quotePrefix="0" xfId="0"/>
    <xf numFmtId="3" fontId="9" fillId="9" borderId="1" pivotButton="0" quotePrefix="0" xfId="0"/>
    <xf numFmtId="166" fontId="5" fillId="9" borderId="1" pivotButton="0" quotePrefix="0" xfId="0"/>
    <xf numFmtId="164" fontId="3" fillId="9" borderId="1" pivotButton="0" quotePrefix="0" xfId="0"/>
    <xf numFmtId="0" fontId="4" fillId="9" borderId="1" applyAlignment="1" pivotButton="0" quotePrefix="0" xfId="0">
      <alignment horizontal="center" wrapText="1"/>
    </xf>
    <xf numFmtId="164" fontId="5" fillId="9" borderId="1" pivotButton="0" quotePrefix="0" xfId="0"/>
    <xf numFmtId="165" fontId="9" fillId="9" borderId="1" pivotButton="0" quotePrefix="0" xfId="0"/>
    <xf numFmtId="0" fontId="7" fillId="9" borderId="1" pivotButton="0" quotePrefix="0" xfId="0"/>
    <xf numFmtId="164" fontId="6" fillId="9" borderId="1" pivotButton="0" quotePrefix="0" xfId="0"/>
    <xf numFmtId="164" fontId="5" fillId="8" borderId="1" pivotButton="0" quotePrefix="0" xfId="0"/>
    <xf numFmtId="0" fontId="10" fillId="6" borderId="0" applyAlignment="1" pivotButton="0" quotePrefix="0" xfId="0">
      <alignment horizontal="left" vertical="center"/>
    </xf>
    <xf numFmtId="0" fontId="22" fillId="11" borderId="0" applyAlignment="1" pivotButton="0" quotePrefix="0" xfId="0">
      <alignment horizontal="left" vertical="center"/>
    </xf>
    <xf numFmtId="0" fontId="22" fillId="11" borderId="0" applyAlignment="1" pivotButton="0" quotePrefix="0" xfId="0">
      <alignment horizontal="center" vertical="center"/>
    </xf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0" fontId="17" fillId="13" borderId="0" applyAlignment="1" pivotButton="0" quotePrefix="0" xfId="0">
      <alignment horizontal="left" vertical="center"/>
    </xf>
    <xf numFmtId="0" fontId="18" fillId="13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8" fillId="6" borderId="0" pivotButton="0" quotePrefix="0" xfId="0"/>
    <xf numFmtId="0" fontId="17" fillId="14" borderId="0" applyAlignment="1" pivotButton="0" quotePrefix="0" xfId="0">
      <alignment horizontal="left" vertical="center"/>
    </xf>
    <xf numFmtId="166" fontId="23" fillId="14" borderId="0" applyAlignment="1" pivotButton="0" quotePrefix="0" xfId="0">
      <alignment horizontal="center" vertical="center"/>
    </xf>
    <xf numFmtId="169" fontId="23" fillId="14" borderId="0" applyAlignment="1" pivotButton="0" quotePrefix="0" xfId="0">
      <alignment horizontal="center" vertical="center"/>
    </xf>
    <xf numFmtId="2" fontId="23" fillId="14" borderId="0" applyAlignment="1" pivotButton="0" quotePrefix="0" xfId="0">
      <alignment horizontal="center" vertical="center"/>
    </xf>
    <xf numFmtId="49" fontId="24" fillId="14" borderId="0" applyAlignment="1" pivotButton="0" quotePrefix="0" xfId="0">
      <alignment horizontal="center" vertical="center"/>
    </xf>
    <xf numFmtId="0" fontId="25" fillId="0" borderId="0" pivotButton="0" quotePrefix="0" xfId="0"/>
    <xf numFmtId="0" fontId="26" fillId="0" borderId="0" pivotButton="0" quotePrefix="0" xfId="0"/>
    <xf numFmtId="0" fontId="4" fillId="4" borderId="0" applyAlignment="1" pivotButton="0" quotePrefix="0" xfId="0">
      <alignment horizontal="center" vertical="center" wrapText="1"/>
    </xf>
    <xf numFmtId="0" fontId="27" fillId="0" borderId="0" pivotButton="0" quotePrefix="0" xfId="0"/>
    <xf numFmtId="3" fontId="9" fillId="3" borderId="1" applyAlignment="1" pivotButton="0" quotePrefix="0" xfId="0">
      <alignment horizontal="right" vertical="center"/>
    </xf>
    <xf numFmtId="0" fontId="9" fillId="3" borderId="0" applyAlignment="1" pivotButton="0" quotePrefix="0" xfId="0">
      <alignment horizontal="right" vertical="center"/>
    </xf>
    <xf numFmtId="3" fontId="9" fillId="0" borderId="1" applyAlignment="1" pivotButton="0" quotePrefix="0" xfId="0">
      <alignment horizontal="right" vertical="center"/>
    </xf>
    <xf numFmtId="0" fontId="9" fillId="0" borderId="0" applyAlignment="1" pivotButton="0" quotePrefix="0" xfId="0">
      <alignment horizontal="right" vertical="center"/>
    </xf>
    <xf numFmtId="3" fontId="5" fillId="9" borderId="1" applyAlignment="1" pivotButton="0" quotePrefix="0" xfId="0">
      <alignment horizontal="right" vertical="center"/>
    </xf>
    <xf numFmtId="0" fontId="5" fillId="9" borderId="0" applyAlignment="1" pivotButton="0" quotePrefix="0" xfId="0">
      <alignment horizontal="right" vertical="center"/>
    </xf>
    <xf numFmtId="3" fontId="5" fillId="0" borderId="1" applyAlignment="1" pivotButton="0" quotePrefix="0" xfId="0">
      <alignment horizontal="right" vertical="center"/>
    </xf>
    <xf numFmtId="0" fontId="5" fillId="0" borderId="0" applyAlignment="1" pivotButton="0" quotePrefix="0" xfId="0">
      <alignment horizontal="right" vertical="center"/>
    </xf>
    <xf numFmtId="3" fontId="9" fillId="9" borderId="1" applyAlignment="1" pivotButton="0" quotePrefix="0" xfId="0">
      <alignment horizontal="right" vertical="center"/>
    </xf>
    <xf numFmtId="0" fontId="9" fillId="9" borderId="0" applyAlignment="1" pivotButton="0" quotePrefix="0" xfId="0">
      <alignment horizontal="right" vertical="center"/>
    </xf>
    <xf numFmtId="3" fontId="5" fillId="3" borderId="1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164" fontId="9" fillId="0" borderId="1" applyAlignment="1" pivotButton="0" quotePrefix="0" xfId="0">
      <alignment horizontal="right" vertical="center"/>
    </xf>
    <xf numFmtId="166" fontId="9" fillId="3" borderId="1" applyAlignment="1" pivotButton="0" quotePrefix="0" xfId="0">
      <alignment horizontal="right" vertical="center"/>
    </xf>
    <xf numFmtId="0" fontId="2" fillId="0" borderId="0" applyAlignment="1" pivotButton="0" quotePrefix="0" xfId="0">
      <alignment horizontal="right" vertical="center"/>
    </xf>
    <xf numFmtId="0" fontId="2" fillId="3" borderId="0" applyAlignment="1" pivotButton="0" quotePrefix="0" xfId="0">
      <alignment horizontal="right" vertical="center"/>
    </xf>
    <xf numFmtId="0" fontId="28" fillId="15" borderId="0" applyAlignment="1" pivotButton="0" quotePrefix="0" xfId="0">
      <alignment horizontal="left" vertical="center"/>
    </xf>
    <xf numFmtId="0" fontId="29" fillId="0" borderId="0" pivotButton="0" quotePrefix="0" xfId="0"/>
    <xf numFmtId="0" fontId="30" fillId="16" borderId="0" applyAlignment="1" pivotButton="0" quotePrefix="0" xfId="0">
      <alignment horizontal="right" vertical="center"/>
    </xf>
    <xf numFmtId="0" fontId="30" fillId="0" borderId="0" applyAlignment="1" pivotButton="0" quotePrefix="0" xfId="0">
      <alignment horizontal="right" vertical="center"/>
    </xf>
    <xf numFmtId="165" fontId="31" fillId="16" borderId="1" applyAlignment="1" pivotButton="0" quotePrefix="0" xfId="0">
      <alignment horizontal="right" vertical="center"/>
    </xf>
    <xf numFmtId="0" fontId="31" fillId="16" borderId="0" applyAlignment="1" pivotButton="0" quotePrefix="0" xfId="0">
      <alignment horizontal="right" vertical="center"/>
    </xf>
    <xf numFmtId="165" fontId="31" fillId="0" borderId="1" applyAlignment="1" pivotButton="0" quotePrefix="0" xfId="0">
      <alignment horizontal="right" vertical="center"/>
    </xf>
    <xf numFmtId="0" fontId="31" fillId="0" borderId="0" applyAlignment="1" pivotButton="0" quotePrefix="0" xfId="0">
      <alignment horizontal="right" vertical="center"/>
    </xf>
    <xf numFmtId="0" fontId="29" fillId="0" borderId="1" pivotButton="0" quotePrefix="0" xfId="0"/>
    <xf numFmtId="0" fontId="32" fillId="17" borderId="0" pivotButton="0" quotePrefix="0" xfId="0"/>
    <xf numFmtId="0" fontId="31" fillId="16" borderId="0" applyAlignment="1" pivotButton="0" quotePrefix="0" xfId="0">
      <alignment horizontal="left" vertical="center"/>
    </xf>
    <xf numFmtId="0" fontId="31" fillId="0" borderId="0" applyAlignment="1" pivotButton="0" quotePrefix="0" xfId="0">
      <alignment horizontal="left" vertical="center"/>
    </xf>
    <xf numFmtId="0" fontId="31" fillId="16" borderId="1" applyAlignment="1" pivotButton="0" quotePrefix="0" xfId="0">
      <alignment horizontal="left" vertical="center"/>
    </xf>
    <xf numFmtId="0" fontId="31" fillId="0" borderId="1" applyAlignment="1" pivotButton="0" quotePrefix="0" xfId="0">
      <alignment horizontal="left" vertical="center"/>
    </xf>
    <xf numFmtId="0" fontId="32" fillId="17" borderId="1" applyAlignment="1" pivotButton="0" quotePrefix="0" xfId="0">
      <alignment horizontal="center" vertical="center" wrapText="1"/>
    </xf>
    <xf numFmtId="0" fontId="32" fillId="17" borderId="0" applyAlignment="1" pivotButton="0" quotePrefix="0" xfId="0">
      <alignment horizontal="center" vertical="center" wrapText="1"/>
    </xf>
    <xf numFmtId="0" fontId="31" fillId="0" borderId="1" pivotButton="0" quotePrefix="0" xfId="0"/>
    <xf numFmtId="0" fontId="31" fillId="0" borderId="0" pivotButton="0" quotePrefix="0" xfId="0"/>
    <xf numFmtId="166" fontId="5" fillId="0" borderId="1" applyAlignment="1" pivotButton="0" quotePrefix="0" xfId="0">
      <alignment horizontal="right" vertical="center"/>
    </xf>
    <xf numFmtId="166" fontId="5" fillId="3" borderId="1" applyAlignment="1" pivotButton="0" quotePrefix="0" xfId="0">
      <alignment horizontal="right" vertical="center"/>
    </xf>
    <xf numFmtId="0" fontId="0" fillId="0" borderId="0" applyAlignment="1" pivotButton="0" quotePrefix="0" xfId="0">
      <alignment horizontal="right" vertical="center"/>
    </xf>
    <xf numFmtId="164" fontId="5" fillId="3" borderId="1" applyAlignment="1" pivotButton="0" quotePrefix="0" xfId="0">
      <alignment horizontal="right" vertical="center"/>
    </xf>
    <xf numFmtId="164" fontId="5" fillId="0" borderId="1" applyAlignment="1" pivotButton="0" quotePrefix="0" xfId="0">
      <alignment horizontal="right" vertical="center"/>
    </xf>
    <xf numFmtId="165" fontId="5" fillId="0" borderId="1" applyAlignment="1" pivotButton="0" quotePrefix="0" xfId="0">
      <alignment horizontal="right" vertical="center"/>
    </xf>
    <xf numFmtId="165" fontId="5" fillId="3" borderId="1" applyAlignment="1" pivotButton="0" quotePrefix="0" xfId="0">
      <alignment horizontal="right" vertical="center"/>
    </xf>
    <xf numFmtId="49" fontId="5" fillId="0" borderId="1" applyAlignment="1" pivotButton="0" quotePrefix="0" xfId="0">
      <alignment horizontal="right" vertical="center"/>
    </xf>
    <xf numFmtId="0" fontId="28" fillId="0" borderId="0" applyAlignment="1" pivotButton="0" quotePrefix="0" xfId="0">
      <alignment horizontal="left" vertical="center"/>
    </xf>
    <xf numFmtId="0" fontId="9" fillId="3" borderId="1" applyAlignment="1" pivotButton="0" quotePrefix="0" xfId="0">
      <alignment horizontal="right" vertical="center"/>
    </xf>
    <xf numFmtId="0" fontId="9" fillId="0" borderId="1" applyAlignment="1" pivotButton="0" quotePrefix="0" xfId="0">
      <alignment horizontal="right" vertical="center"/>
    </xf>
    <xf numFmtId="0" fontId="5" fillId="9" borderId="1" applyAlignment="1" pivotButton="0" quotePrefix="0" xfId="0">
      <alignment horizontal="right" vertical="center"/>
    </xf>
    <xf numFmtId="0" fontId="5" fillId="0" borderId="1" applyAlignment="1" pivotButton="0" quotePrefix="0" xfId="0">
      <alignment horizontal="right" vertical="center"/>
    </xf>
    <xf numFmtId="0" fontId="9" fillId="9" borderId="1" applyAlignment="1" pivotButton="0" quotePrefix="0" xfId="0">
      <alignment horizontal="right" vertical="center"/>
    </xf>
    <xf numFmtId="0" fontId="5" fillId="3" borderId="1" applyAlignment="1" pivotButton="0" quotePrefix="0" xfId="0">
      <alignment horizontal="right" vertical="center"/>
    </xf>
    <xf numFmtId="0" fontId="31" fillId="16" borderId="7" applyAlignment="1" pivotButton="0" quotePrefix="0" xfId="0">
      <alignment horizontal="left" vertical="center"/>
    </xf>
    <xf numFmtId="0" fontId="30" fillId="16" borderId="7" applyAlignment="1" pivotButton="0" quotePrefix="0" xfId="0">
      <alignment horizontal="right" vertical="center"/>
    </xf>
    <xf numFmtId="0" fontId="0" fillId="0" borderId="8" pivotButton="0" quotePrefix="0" xfId="0"/>
    <xf numFmtId="0" fontId="30" fillId="0" borderId="8" applyAlignment="1" pivotButton="0" quotePrefix="0" xfId="0">
      <alignment horizontal="right" vertical="center"/>
    </xf>
    <xf numFmtId="0" fontId="31" fillId="0" borderId="7" applyAlignment="1" pivotButton="0" quotePrefix="0" xfId="0">
      <alignment horizontal="left" vertical="center"/>
    </xf>
    <xf numFmtId="0" fontId="30" fillId="0" borderId="7" applyAlignment="1" pivotButton="0" quotePrefix="0" xfId="0">
      <alignment horizontal="right" vertical="center"/>
    </xf>
    <xf numFmtId="0" fontId="31" fillId="0" borderId="8" pivotButton="0" quotePrefix="0" xfId="0"/>
    <xf numFmtId="165" fontId="5" fillId="0" borderId="8" applyAlignment="1" pivotButton="0" quotePrefix="0" xfId="0">
      <alignment horizontal="right"/>
    </xf>
    <xf numFmtId="0" fontId="32" fillId="17" borderId="7" applyAlignment="1" pivotButton="0" quotePrefix="0" xfId="0">
      <alignment horizontal="center" vertical="center" wrapText="1"/>
    </xf>
    <xf numFmtId="3" fontId="5" fillId="0" borderId="8" pivotButton="0" quotePrefix="0" xfId="0"/>
    <xf numFmtId="166" fontId="5" fillId="0" borderId="8" pivotButton="0" quotePrefix="0" xfId="0"/>
    <xf numFmtId="165" fontId="5" fillId="0" borderId="8" pivotButton="0" quotePrefix="0" xfId="0"/>
    <xf numFmtId="164" fontId="5" fillId="0" borderId="8" applyAlignment="1" pivotButton="0" quotePrefix="0" xfId="0">
      <alignment horizontal="right"/>
    </xf>
    <xf numFmtId="0" fontId="2" fillId="0" borderId="8" pivotButton="0" quotePrefix="0" xfId="0"/>
    <xf numFmtId="166" fontId="5" fillId="0" borderId="8" applyAlignment="1" pivotButton="0" quotePrefix="0" xfId="0">
      <alignment horizontal="right"/>
    </xf>
    <xf numFmtId="0" fontId="31" fillId="16" borderId="7" applyAlignment="1" pivotButton="0" quotePrefix="0" xfId="0">
      <alignment horizontal="right" vertical="center"/>
    </xf>
    <xf numFmtId="165" fontId="31" fillId="16" borderId="7" applyAlignment="1" pivotButton="0" quotePrefix="0" xfId="0">
      <alignment horizontal="right" vertical="center"/>
    </xf>
    <xf numFmtId="0" fontId="31" fillId="0" borderId="7" applyAlignment="1" pivotButton="0" quotePrefix="0" xfId="0">
      <alignment horizontal="right" vertical="center"/>
    </xf>
    <xf numFmtId="165" fontId="31" fillId="0" borderId="7" applyAlignment="1" pivotButton="0" quotePrefix="0" xfId="0">
      <alignment horizontal="right" vertical="center"/>
    </xf>
    <xf numFmtId="0" fontId="32" fillId="17" borderId="7" applyAlignment="1" pivotButton="0" quotePrefix="0" xfId="0">
      <alignment horizontal="left" vertical="center"/>
    </xf>
    <xf numFmtId="0" fontId="32" fillId="17" borderId="7" applyAlignment="1" pivotButton="0" quotePrefix="0" xfId="0">
      <alignment horizontal="center" vertical="center"/>
    </xf>
    <xf numFmtId="0" fontId="14" fillId="0" borderId="8" applyAlignment="1" pivotButton="0" quotePrefix="0" xfId="0">
      <alignment horizontal="center" vertical="center"/>
    </xf>
    <xf numFmtId="0" fontId="15" fillId="0" borderId="8" applyAlignment="1" pivotButton="0" quotePrefix="0" xfId="0">
      <alignment horizontal="center" vertical="center"/>
    </xf>
    <xf numFmtId="0" fontId="18" fillId="0" borderId="8" applyAlignment="1" pivotButton="0" quotePrefix="0" xfId="0">
      <alignment horizontal="left" vertical="center"/>
    </xf>
    <xf numFmtId="0" fontId="18" fillId="0" borderId="8" applyAlignment="1" pivotButton="0" quotePrefix="0" xfId="0">
      <alignment horizontal="center" vertical="center"/>
    </xf>
    <xf numFmtId="0" fontId="18" fillId="0" borderId="8" pivotButton="0" quotePrefix="0" xfId="0"/>
    <xf numFmtId="166" fontId="30" fillId="0" borderId="7" applyAlignment="1" pivotButton="0" quotePrefix="0" xfId="0">
      <alignment horizontal="right" vertical="center"/>
    </xf>
    <xf numFmtId="169" fontId="30" fillId="16" borderId="7" applyAlignment="1" pivotButton="0" quotePrefix="0" xfId="0">
      <alignment horizontal="right" vertical="center"/>
    </xf>
    <xf numFmtId="169" fontId="30" fillId="0" borderId="7" applyAlignment="1" pivotButton="0" quotePrefix="0" xfId="0">
      <alignment horizontal="right" vertical="center"/>
    </xf>
    <xf numFmtId="2" fontId="30" fillId="16" borderId="7" applyAlignment="1" pivotButton="0" quotePrefix="0" xfId="0">
      <alignment horizontal="right" vertical="center"/>
    </xf>
    <xf numFmtId="2" fontId="30" fillId="0" borderId="7" applyAlignment="1" pivotButton="0" quotePrefix="0" xfId="0">
      <alignment horizontal="right" vertical="center"/>
    </xf>
    <xf numFmtId="0" fontId="33" fillId="6" borderId="0" applyAlignment="1" pivotButton="0" quotePrefix="0" xfId="0">
      <alignment horizontal="left" vertical="center"/>
    </xf>
    <xf numFmtId="0" fontId="34" fillId="6" borderId="0" applyAlignment="1" pivotButton="0" quotePrefix="0" xfId="0">
      <alignment horizontal="left" vertical="center"/>
    </xf>
    <xf numFmtId="0" fontId="35" fillId="7" borderId="0" applyAlignment="1" pivotButton="0" quotePrefix="0" xfId="0">
      <alignment horizontal="center" vertical="center"/>
    </xf>
    <xf numFmtId="0" fontId="36" fillId="8" borderId="0" applyAlignment="1" pivotButton="0" quotePrefix="0" xfId="0">
      <alignment horizontal="center" vertical="center"/>
    </xf>
    <xf numFmtId="0" fontId="37" fillId="9" borderId="0" applyAlignment="1" pivotButton="0" quotePrefix="0" xfId="0">
      <alignment horizontal="center" vertical="center"/>
    </xf>
    <xf numFmtId="0" fontId="38" fillId="10" borderId="0" applyAlignment="1" pivotButton="0" quotePrefix="0" xfId="0">
      <alignment horizontal="center" vertical="center"/>
    </xf>
    <xf numFmtId="0" fontId="39" fillId="11" borderId="0" applyAlignment="1" pivotButton="0" quotePrefix="0" xfId="0">
      <alignment horizontal="left" vertical="center"/>
    </xf>
    <xf numFmtId="0" fontId="40" fillId="8" borderId="0" applyAlignment="1" pivotButton="0" quotePrefix="0" xfId="0">
      <alignment horizontal="left" vertical="center"/>
    </xf>
    <xf numFmtId="0" fontId="41" fillId="8" borderId="0" applyAlignment="1" pivotButton="0" quotePrefix="0" xfId="0">
      <alignment horizontal="left" vertical="center"/>
    </xf>
    <xf numFmtId="0" fontId="42" fillId="8" borderId="0" applyAlignment="1" pivotButton="0" quotePrefix="0" xfId="0">
      <alignment horizontal="center" vertical="center"/>
    </xf>
    <xf numFmtId="0" fontId="40" fillId="7" borderId="0" applyAlignment="1" pivotButton="0" quotePrefix="0" xfId="0">
      <alignment horizontal="left" vertical="center"/>
    </xf>
    <xf numFmtId="0" fontId="42" fillId="7" borderId="0" applyAlignment="1" pivotButton="0" quotePrefix="0" xfId="0">
      <alignment horizontal="center" vertical="center"/>
    </xf>
    <xf numFmtId="0" fontId="40" fillId="9" borderId="0" applyAlignment="1" pivotButton="0" quotePrefix="0" xfId="0">
      <alignment horizontal="left" vertical="center"/>
    </xf>
    <xf numFmtId="0" fontId="43" fillId="9" borderId="0" applyAlignment="1" pivotButton="0" quotePrefix="0" xfId="0">
      <alignment horizontal="center" vertical="center"/>
    </xf>
    <xf numFmtId="168" fontId="42" fillId="8" borderId="0" applyAlignment="1" pivotButton="0" quotePrefix="0" xfId="0">
      <alignment horizontal="center" vertical="center"/>
    </xf>
    <xf numFmtId="0" fontId="40" fillId="10" borderId="0" applyAlignment="1" pivotButton="0" quotePrefix="0" xfId="0">
      <alignment horizontal="left" vertical="center"/>
    </xf>
    <xf numFmtId="0" fontId="39" fillId="12" borderId="0" applyAlignment="1" pivotButton="0" quotePrefix="0" xfId="0">
      <alignment horizontal="left" vertical="center"/>
    </xf>
    <xf numFmtId="0" fontId="41" fillId="6" borderId="0" applyAlignment="1" pivotButton="0" quotePrefix="0" xfId="0">
      <alignment horizontal="left" vertical="center"/>
    </xf>
    <xf numFmtId="0" fontId="44" fillId="0" borderId="0" pivotButton="0" quotePrefix="0" xfId="0"/>
    <xf numFmtId="0" fontId="44" fillId="0" borderId="8" pivotButton="0" quotePrefix="0" xfId="0"/>
    <xf numFmtId="0" fontId="40" fillId="14" borderId="0" applyAlignment="1" pivotButton="0" quotePrefix="0" xfId="0">
      <alignment horizontal="left" vertical="center"/>
    </xf>
    <xf numFmtId="49" fontId="45" fillId="14" borderId="0" applyAlignment="1" pivotButton="0" quotePrefix="0" xfId="0">
      <alignment horizontal="center" vertical="center"/>
    </xf>
    <xf numFmtId="0" fontId="31" fillId="0" borderId="8" applyAlignment="1" pivotButton="0" quotePrefix="0" xfId="0">
      <alignment horizontal="right" vertical="center"/>
    </xf>
    <xf numFmtId="0" fontId="5" fillId="5" borderId="7" pivotButton="0" quotePrefix="0" xfId="0"/>
    <xf numFmtId="165" fontId="9" fillId="8" borderId="7" pivotButton="0" quotePrefix="0" xfId="0"/>
    <xf numFmtId="0" fontId="2" fillId="3" borderId="8" pivotButton="0" quotePrefix="0" xfId="0"/>
    <xf numFmtId="166" fontId="9" fillId="8" borderId="7" pivotButton="0" quotePrefix="0" xfId="0"/>
    <xf numFmtId="165" fontId="9" fillId="10" borderId="7" pivotButton="0" quotePrefix="0" xfId="0"/>
    <xf numFmtId="0" fontId="5" fillId="0" borderId="7" pivotButton="0" quotePrefix="0" xfId="0"/>
    <xf numFmtId="165" fontId="6" fillId="9" borderId="7" pivotButton="0" quotePrefix="0" xfId="0"/>
    <xf numFmtId="165" fontId="9" fillId="7" borderId="7" pivotButton="0" quotePrefix="0" xfId="0"/>
    <xf numFmtId="0" fontId="5" fillId="3" borderId="7" pivotButton="0" quotePrefix="0" xfId="0"/>
    <xf numFmtId="0" fontId="4" fillId="4" borderId="7" applyAlignment="1" pivotButton="0" quotePrefix="0" xfId="0">
      <alignment horizontal="center" wrapText="1"/>
    </xf>
    <xf numFmtId="0" fontId="8" fillId="0" borderId="7" pivotButton="0" quotePrefix="0" xfId="0"/>
    <xf numFmtId="0" fontId="2" fillId="0" borderId="7" pivotButton="0" quotePrefix="0" xfId="0"/>
    <xf numFmtId="165" fontId="9" fillId="3" borderId="7" pivotButton="0" quotePrefix="0" xfId="0"/>
    <xf numFmtId="0" fontId="2" fillId="3" borderId="7" pivotButton="0" quotePrefix="0" xfId="0"/>
    <xf numFmtId="165" fontId="9" fillId="0" borderId="7" pivotButton="0" quotePrefix="0" xfId="0"/>
    <xf numFmtId="167" fontId="9" fillId="10" borderId="7" pivotButton="0" quotePrefix="0" xfId="0"/>
    <xf numFmtId="167" fontId="9" fillId="0" borderId="7" pivotButton="0" quotePrefix="0" xfId="0"/>
    <xf numFmtId="0" fontId="2" fillId="9" borderId="7" pivotButton="0" quotePrefix="0" xfId="0"/>
    <xf numFmtId="0" fontId="6" fillId="3" borderId="7" pivotButton="0" quotePrefix="0" xfId="0"/>
    <xf numFmtId="3" fontId="6" fillId="9" borderId="7" pivotButton="0" quotePrefix="0" xfId="0"/>
    <xf numFmtId="3" fontId="5" fillId="9" borderId="7" pivotButton="0" quotePrefix="0" xfId="0"/>
    <xf numFmtId="3" fontId="5" fillId="0" borderId="7" pivotButton="0" quotePrefix="0" xfId="0"/>
    <xf numFmtId="3" fontId="5" fillId="3" borderId="7" pivotButton="0" quotePrefix="0" xfId="0"/>
    <xf numFmtId="3" fontId="6" fillId="3" borderId="7" pivotButton="0" quotePrefix="0" xfId="0"/>
    <xf numFmtId="0" fontId="8" fillId="3" borderId="7" pivotButton="0" quotePrefix="0" xfId="0"/>
    <xf numFmtId="165" fontId="5" fillId="9" borderId="7" pivotButton="0" quotePrefix="0" xfId="0"/>
    <xf numFmtId="167" fontId="5" fillId="9" borderId="7" pivotButton="0" quotePrefix="0" xfId="0"/>
    <xf numFmtId="165" fontId="2" fillId="9" borderId="7" pivotButton="0" quotePrefix="0" xfId="0"/>
    <xf numFmtId="168" fontId="5" fillId="9" borderId="7" pivotButton="0" quotePrefix="0" xfId="0"/>
    <xf numFmtId="168" fontId="5" fillId="0" borderId="7" pivotButton="0" quotePrefix="0" xfId="0"/>
    <xf numFmtId="0" fontId="6" fillId="0" borderId="7" pivotButton="0" quotePrefix="0" xfId="0"/>
    <xf numFmtId="3" fontId="9" fillId="9" borderId="7" pivotButton="0" quotePrefix="0" xfId="0"/>
    <xf numFmtId="166" fontId="5" fillId="9" borderId="7" pivotButton="0" quotePrefix="0" xfId="0"/>
    <xf numFmtId="164" fontId="3" fillId="9" borderId="7" pivotButton="0" quotePrefix="0" xfId="0"/>
    <xf numFmtId="167" fontId="9" fillId="3" borderId="7" pivotButton="0" quotePrefix="0" xfId="0"/>
    <xf numFmtId="0" fontId="4" fillId="9" borderId="7" applyAlignment="1" pivotButton="0" quotePrefix="0" xfId="0">
      <alignment horizontal="center" wrapText="1"/>
    </xf>
    <xf numFmtId="164" fontId="5" fillId="9" borderId="7" pivotButton="0" quotePrefix="0" xfId="0"/>
    <xf numFmtId="164" fontId="5" fillId="3" borderId="7" pivotButton="0" quotePrefix="0" xfId="0"/>
    <xf numFmtId="164" fontId="5" fillId="0" borderId="7" pivotButton="0" quotePrefix="0" xfId="0"/>
    <xf numFmtId="165" fontId="9" fillId="9" borderId="7" pivotButton="0" quotePrefix="0" xfId="0"/>
    <xf numFmtId="0" fontId="7" fillId="9" borderId="7" pivotButton="0" quotePrefix="0" xfId="0"/>
    <xf numFmtId="165" fontId="5" fillId="0" borderId="7" pivotButton="0" quotePrefix="0" xfId="0"/>
    <xf numFmtId="165" fontId="5" fillId="3" borderId="7" pivotButton="0" quotePrefix="0" xfId="0"/>
    <xf numFmtId="164" fontId="6" fillId="9" borderId="7" pivotButton="0" quotePrefix="0" xfId="0"/>
    <xf numFmtId="164" fontId="6" fillId="3" borderId="7" pivotButton="0" quotePrefix="0" xfId="0"/>
    <xf numFmtId="164" fontId="3" fillId="0" borderId="7" pivotButton="0" quotePrefix="0" xfId="0"/>
    <xf numFmtId="164" fontId="5" fillId="8" borderId="7" pivotButton="0" quotePrefix="0" xfId="0"/>
    <xf numFmtId="165" fontId="6" fillId="0" borderId="7" pivotButton="0" quotePrefix="0" xfId="0"/>
    <xf numFmtId="0" fontId="4" fillId="4" borderId="7" applyAlignment="1" pivotButton="0" quotePrefix="0" xfId="0">
      <alignment horizontal="center"/>
    </xf>
    <xf numFmtId="165" fontId="4" fillId="4" borderId="7" applyAlignment="1" pivotButton="0" quotePrefix="0" xfId="0">
      <alignment horizontal="center"/>
    </xf>
    <xf numFmtId="165" fontId="5" fillId="0" borderId="7" applyAlignment="1" pivotButton="0" quotePrefix="0" xfId="0">
      <alignment horizontal="center"/>
    </xf>
    <xf numFmtId="165" fontId="5" fillId="3" borderId="7" applyAlignment="1" pivotButton="0" quotePrefix="0" xfId="0">
      <alignment horizontal="center"/>
    </xf>
    <xf numFmtId="165" fontId="6" fillId="0" borderId="7" applyAlignment="1" pivotButton="0" quotePrefix="0" xfId="0">
      <alignment horizontal="center"/>
    </xf>
    <xf numFmtId="164" fontId="6" fillId="0" borderId="7" pivotButton="0" quotePrefix="0" xfId="0"/>
    <xf numFmtId="167" fontId="4" fillId="4" borderId="7" applyAlignment="1" pivotButton="0" quotePrefix="0" xfId="0">
      <alignment horizontal="center"/>
    </xf>
    <xf numFmtId="0" fontId="9" fillId="0" borderId="7" pivotButton="0" quotePrefix="0" xfId="0"/>
    <xf numFmtId="0" fontId="9" fillId="3" borderId="7" pivotButton="0" quotePrefix="0" xfId="0"/>
    <xf numFmtId="0" fontId="37" fillId="18" borderId="0" applyAlignment="1" pivotButton="0" quotePrefix="0" xfId="0">
      <alignment horizontal="center" vertical="center"/>
    </xf>
    <xf numFmtId="0" fontId="40" fillId="18" borderId="0" applyAlignment="1" pivotButton="0" quotePrefix="0" xfId="0">
      <alignment horizontal="left" vertical="center"/>
    </xf>
    <xf numFmtId="0" fontId="43" fillId="18" borderId="0" applyAlignment="1" pivotButton="0" quotePrefix="0" xfId="0">
      <alignment horizontal="center" vertical="center"/>
    </xf>
    <xf numFmtId="0" fontId="19" fillId="18" borderId="0" applyAlignment="1" pivotButton="0" quotePrefix="0" xfId="0">
      <alignment horizontal="center" vertical="center"/>
    </xf>
    <xf numFmtId="0" fontId="20" fillId="18" borderId="0" applyAlignment="1" pivotButton="0" quotePrefix="0" xfId="0">
      <alignment horizontal="left" vertical="center"/>
    </xf>
    <xf numFmtId="0" fontId="0" fillId="18" borderId="0" pivotButton="0" quotePrefix="0" xfId="0"/>
    <xf numFmtId="0" fontId="21" fillId="18" borderId="0" applyAlignment="1" pivotButton="0" quotePrefix="0" xfId="0">
      <alignment horizontal="center" vertical="center"/>
    </xf>
    <xf numFmtId="0" fontId="46" fillId="0" borderId="1" pivotButton="0" quotePrefix="0" xfId="0"/>
    <xf numFmtId="0" fontId="46" fillId="3" borderId="1" pivotButton="0" quotePrefix="0" xfId="0"/>
    <xf numFmtId="3" fontId="46" fillId="3" borderId="1" applyAlignment="1" pivotButton="0" quotePrefix="0" xfId="0">
      <alignment horizontal="right"/>
    </xf>
    <xf numFmtId="3" fontId="46" fillId="3" borderId="1" applyAlignment="1" pivotButton="0" quotePrefix="0" xfId="0">
      <alignment horizontal="right" vertical="center"/>
    </xf>
    <xf numFmtId="0" fontId="46" fillId="3" borderId="1" applyAlignment="1" pivotButton="0" quotePrefix="0" xfId="0">
      <alignment horizontal="right" vertical="center"/>
    </xf>
    <xf numFmtId="3" fontId="46" fillId="0" borderId="1" applyAlignment="1" pivotButton="0" quotePrefix="0" xfId="0">
      <alignment horizontal="right"/>
    </xf>
    <xf numFmtId="3" fontId="46" fillId="0" borderId="1" applyAlignment="1" pivotButton="0" quotePrefix="0" xfId="0">
      <alignment horizontal="right" vertical="center"/>
    </xf>
    <xf numFmtId="0" fontId="46" fillId="0" borderId="1" applyAlignment="1" pivotButton="0" quotePrefix="0" xfId="0">
      <alignment horizontal="right" vertical="center"/>
    </xf>
    <xf numFmtId="3" fontId="5" fillId="18" borderId="1" applyAlignment="1" pivotButton="0" quotePrefix="0" xfId="0">
      <alignment horizontal="right"/>
    </xf>
    <xf numFmtId="3" fontId="5" fillId="18" borderId="1" applyAlignment="1" pivotButton="0" quotePrefix="0" xfId="0">
      <alignment horizontal="right" vertical="center"/>
    </xf>
    <xf numFmtId="0" fontId="5" fillId="18" borderId="1" applyAlignment="1" pivotButton="0" quotePrefix="0" xfId="0">
      <alignment horizontal="right" vertical="center"/>
    </xf>
    <xf numFmtId="3" fontId="46" fillId="18" borderId="1" applyAlignment="1" pivotButton="0" quotePrefix="0" xfId="0">
      <alignment horizontal="right"/>
    </xf>
    <xf numFmtId="3" fontId="46" fillId="18" borderId="1" applyAlignment="1" pivotButton="0" quotePrefix="0" xfId="0">
      <alignment horizontal="right" vertical="center"/>
    </xf>
    <xf numFmtId="0" fontId="46" fillId="18" borderId="1" applyAlignment="1" pivotButton="0" quotePrefix="0" xfId="0">
      <alignment horizontal="right" vertical="center"/>
    </xf>
    <xf numFmtId="164" fontId="46" fillId="0" borderId="1" applyAlignment="1" pivotButton="0" quotePrefix="0" xfId="0">
      <alignment horizontal="right"/>
    </xf>
    <xf numFmtId="164" fontId="46" fillId="0" borderId="1" applyAlignment="1" pivotButton="0" quotePrefix="0" xfId="0">
      <alignment horizontal="right" vertical="center"/>
    </xf>
    <xf numFmtId="166" fontId="46" fillId="3" borderId="1" applyAlignment="1" pivotButton="0" quotePrefix="0" xfId="0">
      <alignment horizontal="right"/>
    </xf>
    <xf numFmtId="166" fontId="46" fillId="3" borderId="1" applyAlignment="1" pivotButton="0" quotePrefix="0" xfId="0">
      <alignment horizontal="right" vertical="center"/>
    </xf>
    <xf numFmtId="0" fontId="46" fillId="0" borderId="8" applyAlignment="1" pivotButton="0" quotePrefix="0" xfId="0">
      <alignment horizontal="right" vertical="center"/>
    </xf>
    <xf numFmtId="165" fontId="46" fillId="8" borderId="7" pivotButton="0" quotePrefix="0" xfId="0"/>
    <xf numFmtId="166" fontId="46" fillId="8" borderId="7" pivotButton="0" quotePrefix="0" xfId="0"/>
    <xf numFmtId="165" fontId="46" fillId="10" borderId="7" pivotButton="0" quotePrefix="0" xfId="0"/>
    <xf numFmtId="165" fontId="6" fillId="18" borderId="7" pivotButton="0" quotePrefix="0" xfId="0"/>
    <xf numFmtId="165" fontId="46" fillId="7" borderId="7" pivotButton="0" quotePrefix="0" xfId="0"/>
    <xf numFmtId="165" fontId="46" fillId="3" borderId="7" pivotButton="0" quotePrefix="0" xfId="0"/>
    <xf numFmtId="165" fontId="46" fillId="0" borderId="7" pivotButton="0" quotePrefix="0" xfId="0"/>
    <xf numFmtId="167" fontId="46" fillId="10" borderId="7" pivotButton="0" quotePrefix="0" xfId="0"/>
    <xf numFmtId="167" fontId="46" fillId="0" borderId="7" pivotButton="0" quotePrefix="0" xfId="0"/>
    <xf numFmtId="0" fontId="2" fillId="18" borderId="7" pivotButton="0" quotePrefix="0" xfId="0"/>
    <xf numFmtId="3" fontId="6" fillId="18" borderId="7" pivotButton="0" quotePrefix="0" xfId="0"/>
    <xf numFmtId="3" fontId="5" fillId="18" borderId="7" pivotButton="0" quotePrefix="0" xfId="0"/>
    <xf numFmtId="0" fontId="2" fillId="18" borderId="0" pivotButton="0" quotePrefix="0" xfId="0"/>
    <xf numFmtId="165" fontId="5" fillId="18" borderId="7" pivotButton="0" quotePrefix="0" xfId="0"/>
    <xf numFmtId="167" fontId="5" fillId="18" borderId="7" pivotButton="0" quotePrefix="0" xfId="0"/>
    <xf numFmtId="165" fontId="2" fillId="18" borderId="7" pivotButton="0" quotePrefix="0" xfId="0"/>
    <xf numFmtId="168" fontId="5" fillId="18" borderId="7" pivotButton="0" quotePrefix="0" xfId="0"/>
    <xf numFmtId="3" fontId="46" fillId="18" borderId="7" pivotButton="0" quotePrefix="0" xfId="0"/>
    <xf numFmtId="166" fontId="5" fillId="18" borderId="7" pivotButton="0" quotePrefix="0" xfId="0"/>
    <xf numFmtId="164" fontId="3" fillId="18" borderId="7" pivotButton="0" quotePrefix="0" xfId="0"/>
    <xf numFmtId="167" fontId="46" fillId="3" borderId="7" pivotButton="0" quotePrefix="0" xfId="0"/>
    <xf numFmtId="0" fontId="4" fillId="18" borderId="1" applyAlignment="1" pivotButton="0" quotePrefix="0" xfId="0">
      <alignment horizontal="center" wrapText="1"/>
    </xf>
    <xf numFmtId="0" fontId="4" fillId="18" borderId="7" applyAlignment="1" pivotButton="0" quotePrefix="0" xfId="0">
      <alignment horizontal="center" wrapText="1"/>
    </xf>
    <xf numFmtId="164" fontId="5" fillId="18" borderId="7" pivotButton="0" quotePrefix="0" xfId="0"/>
    <xf numFmtId="165" fontId="46" fillId="18" borderId="7" pivotButton="0" quotePrefix="0" xfId="0"/>
    <xf numFmtId="0" fontId="7" fillId="18" borderId="7" pivotButton="0" quotePrefix="0" xfId="0"/>
    <xf numFmtId="164" fontId="6" fillId="18" borderId="7" pivotButton="0" quotePrefix="0" xfId="0"/>
    <xf numFmtId="0" fontId="46" fillId="0" borderId="7" pivotButton="0" quotePrefix="0" xfId="0"/>
    <xf numFmtId="0" fontId="46" fillId="3" borderId="7" pivotButton="0" quotePrefix="0" xfId="0"/>
    <xf numFmtId="0" fontId="46" fillId="16" borderId="7" applyAlignment="1" pivotButton="0" quotePrefix="0" xfId="0">
      <alignment horizontal="right" vertical="center"/>
    </xf>
    <xf numFmtId="0" fontId="46" fillId="0" borderId="7" applyAlignment="1" pivotButton="0" quotePrefix="0" xfId="0">
      <alignment horizontal="right" vertical="center"/>
    </xf>
    <xf numFmtId="166" fontId="46" fillId="0" borderId="7" applyAlignment="1" pivotButton="0" quotePrefix="0" xfId="0">
      <alignment horizontal="right" vertical="center"/>
    </xf>
    <xf numFmtId="169" fontId="46" fillId="16" borderId="7" applyAlignment="1" pivotButton="0" quotePrefix="0" xfId="0">
      <alignment horizontal="right" vertical="center"/>
    </xf>
    <xf numFmtId="169" fontId="46" fillId="0" borderId="7" applyAlignment="1" pivotButton="0" quotePrefix="0" xfId="0">
      <alignment horizontal="right" vertical="center"/>
    </xf>
    <xf numFmtId="2" fontId="46" fillId="16" borderId="7" applyAlignment="1" pivotButton="0" quotePrefix="0" xfId="0">
      <alignment horizontal="right" vertical="center"/>
    </xf>
    <xf numFmtId="2" fontId="46" fillId="0" borderId="7" applyAlignment="1" pivotButton="0" quotePrefix="0" xfId="0">
      <alignment horizontal="right" vertical="center"/>
    </xf>
    <xf numFmtId="3" fontId="2" fillId="3" borderId="0" pivotButton="0" quotePrefix="0" xfId="0"/>
    <xf numFmtId="3" fontId="2" fillId="3" borderId="0" applyAlignment="1" pivotButton="0" quotePrefix="0" xfId="0">
      <alignment horizontal="right" vertical="center"/>
    </xf>
    <xf numFmtId="0" fontId="47" fillId="15" borderId="0" applyAlignment="1" pivotButton="0" quotePrefix="0" xfId="0">
      <alignment horizontal="left" vertical="center"/>
    </xf>
    <xf numFmtId="0" fontId="27" fillId="0" borderId="8" pivotButton="0" quotePrefix="0" xfId="0"/>
    <xf numFmtId="0" fontId="28" fillId="6" borderId="0" applyAlignment="1" pivotButton="0" quotePrefix="0" xfId="0">
      <alignment horizontal="left" vertical="center"/>
    </xf>
    <xf numFmtId="0" fontId="0" fillId="6" borderId="8" pivotButton="0" quotePrefix="0" xfId="0"/>
    <xf numFmtId="0" fontId="22" fillId="11" borderId="7" applyAlignment="1" pivotButton="0" quotePrefix="0" xfId="0">
      <alignment horizontal="left" vertical="center"/>
    </xf>
    <xf numFmtId="0" fontId="22" fillId="11" borderId="7" applyAlignment="1" pivotButton="0" quotePrefix="0" xfId="0">
      <alignment horizontal="center" vertical="center"/>
    </xf>
    <xf numFmtId="0" fontId="16" fillId="12" borderId="7" applyAlignment="1" pivotButton="0" quotePrefix="0" xfId="0">
      <alignment horizontal="left" vertical="center"/>
    </xf>
    <xf numFmtId="0" fontId="16" fillId="12" borderId="7" applyAlignment="1" pivotButton="0" quotePrefix="0" xfId="0">
      <alignment horizontal="center" vertical="center"/>
    </xf>
    <xf numFmtId="0" fontId="17" fillId="13" borderId="7" applyAlignment="1" pivotButton="0" quotePrefix="0" xfId="0">
      <alignment horizontal="left" vertical="center"/>
    </xf>
    <xf numFmtId="0" fontId="18" fillId="13" borderId="7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8" applyAlignment="1" pivotButton="0" quotePrefix="0" xfId="0">
      <alignment horizontal="left" vertical="center"/>
    </xf>
    <xf numFmtId="0" fontId="18" fillId="6" borderId="8" applyAlignment="1" pivotButton="0" quotePrefix="0" xfId="0">
      <alignment horizontal="center" vertical="center"/>
    </xf>
    <xf numFmtId="0" fontId="18" fillId="6" borderId="8" pivotButton="0" quotePrefix="0" xfId="0"/>
    <xf numFmtId="0" fontId="17" fillId="14" borderId="7" applyAlignment="1" pivotButton="0" quotePrefix="0" xfId="0">
      <alignment horizontal="left" vertical="center"/>
    </xf>
    <xf numFmtId="166" fontId="23" fillId="14" borderId="7" applyAlignment="1" pivotButton="0" quotePrefix="0" xfId="0">
      <alignment horizontal="center" vertical="center"/>
    </xf>
    <xf numFmtId="169" fontId="23" fillId="14" borderId="7" applyAlignment="1" pivotButton="0" quotePrefix="0" xfId="0">
      <alignment horizontal="center" vertical="center"/>
    </xf>
    <xf numFmtId="2" fontId="23" fillId="14" borderId="7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7" fillId="14" borderId="0" applyAlignment="1" pivotButton="0" quotePrefix="0" xfId="0">
      <alignment horizontal="left" vertical="center"/>
    </xf>
    <xf numFmtId="49" fontId="24" fillId="14" borderId="0" applyAlignment="1" pivotButton="0" quotePrefix="0" xfId="0">
      <alignment horizontal="center" vertical="center"/>
    </xf>
    <xf numFmtId="0" fontId="39" fillId="12" borderId="0" applyAlignment="1" pivotButton="0" quotePrefix="0" xfId="0">
      <alignment horizontal="center" vertical="center"/>
    </xf>
    <xf numFmtId="2" fontId="42" fillId="8" borderId="0" applyAlignment="1" pivotButton="0" quotePrefix="0" xfId="0">
      <alignment horizontal="center" vertical="center"/>
    </xf>
    <xf numFmtId="169" fontId="42" fillId="8" borderId="0" applyAlignment="1" pivotButton="0" quotePrefix="0" xfId="0">
      <alignment horizontal="center" vertical="center"/>
    </xf>
    <xf numFmtId="0" fontId="46" fillId="19" borderId="1" applyAlignment="1" pivotButton="0" quotePrefix="0" xfId="0">
      <alignment horizontal="right" vertical="center"/>
    </xf>
    <xf numFmtId="0" fontId="5" fillId="19" borderId="1" applyAlignment="1" pivotButton="0" quotePrefix="0" xfId="0">
      <alignment horizontal="right" vertical="center"/>
    </xf>
    <xf numFmtId="3" fontId="2" fillId="19" borderId="0" applyAlignment="1" pivotButton="0" quotePrefix="0" xfId="0">
      <alignment horizontal="right" vertical="center"/>
    </xf>
    <xf numFmtId="0" fontId="2" fillId="19" borderId="0" applyAlignment="1" pivotButton="0" quotePrefix="0" xfId="0">
      <alignment horizontal="right" vertical="center"/>
    </xf>
    <xf numFmtId="0" fontId="0" fillId="19" borderId="0" applyAlignment="1" pivotButton="0" quotePrefix="0" xfId="0">
      <alignment horizontal="right" vertical="center"/>
    </xf>
    <xf numFmtId="0" fontId="0" fillId="19" borderId="8" pivotButton="0" quotePrefix="0" xfId="0"/>
    <xf numFmtId="0" fontId="0" fillId="19" borderId="0" pivotButton="0" quotePrefix="0" xfId="0"/>
    <xf numFmtId="0" fontId="31" fillId="19" borderId="7" applyAlignment="1" pivotButton="0" quotePrefix="0" xfId="0">
      <alignment horizontal="right" vertical="center"/>
    </xf>
    <xf numFmtId="0" fontId="50" fillId="0" borderId="8" pivotButton="0" quotePrefix="0" xfId="0"/>
    <xf numFmtId="0" fontId="51" fillId="20" borderId="8" pivotButton="0" quotePrefix="0" xfId="0"/>
    <xf numFmtId="0" fontId="27" fillId="20" borderId="8" pivotButton="0" quotePrefix="0" xfId="0"/>
    <xf numFmtId="0" fontId="0" fillId="20" borderId="0" pivotButton="0" quotePrefix="0" xfId="0"/>
    <xf numFmtId="0" fontId="52" fillId="0" borderId="8" pivotButton="0" quotePrefix="0" xfId="0"/>
    <xf numFmtId="0" fontId="52" fillId="0" borderId="0" pivotButton="0" quotePrefix="0" xfId="0"/>
    <xf numFmtId="0" fontId="51" fillId="20" borderId="0" pivotButton="0" quotePrefix="0" xfId="0"/>
    <xf numFmtId="0" fontId="53" fillId="0" borderId="0" pivotButton="0" quotePrefix="0" xfId="0"/>
    <xf numFmtId="165" fontId="53" fillId="0" borderId="9" pivotButton="0" quotePrefix="0" xfId="0"/>
    <xf numFmtId="170" fontId="54" fillId="0" borderId="9" pivotButton="0" quotePrefix="0" xfId="0"/>
    <xf numFmtId="165" fontId="0" fillId="0" borderId="0" pivotButton="0" quotePrefix="0" xfId="0"/>
    <xf numFmtId="171" fontId="0" fillId="0" borderId="0" pivotButton="0" quotePrefix="0" xfId="0"/>
    <xf numFmtId="170" fontId="54" fillId="0" borderId="9" pivotButton="0" quotePrefix="0" xfId="0"/>
    <xf numFmtId="171" fontId="0" fillId="0" borderId="0" pivotButton="0" quotePrefix="0" xfId="0"/>
    <xf numFmtId="165" fontId="44" fillId="0" borderId="0" pivotButton="0" quotePrefix="0" xfId="0"/>
    <xf numFmtId="171" fontId="44" fillId="0" borderId="0" pivotButton="0" quotePrefix="0" xfId="0"/>
    <xf numFmtId="0" fontId="22" fillId="11" borderId="7" applyAlignment="1" pivotButton="0" quotePrefix="0" xfId="0">
      <alignment horizontal="left" vertical="center"/>
    </xf>
    <xf numFmtId="0" fontId="22" fillId="11" borderId="7" applyAlignment="1" pivotButton="0" quotePrefix="0" xfId="0">
      <alignment horizontal="center" vertical="center"/>
    </xf>
    <xf numFmtId="0" fontId="16" fillId="12" borderId="7" applyAlignment="1" pivotButton="0" quotePrefix="0" xfId="0">
      <alignment horizontal="left" vertical="center"/>
    </xf>
    <xf numFmtId="0" fontId="16" fillId="12" borderId="7" applyAlignment="1" pivotButton="0" quotePrefix="0" xfId="0">
      <alignment horizontal="center" vertical="center"/>
    </xf>
    <xf numFmtId="0" fontId="17" fillId="13" borderId="7" applyAlignment="1" pivotButton="0" quotePrefix="0" xfId="0">
      <alignment horizontal="left" vertical="center"/>
    </xf>
    <xf numFmtId="0" fontId="18" fillId="13" borderId="7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8" applyAlignment="1" pivotButton="0" quotePrefix="0" xfId="0">
      <alignment horizontal="left" vertical="center"/>
    </xf>
    <xf numFmtId="0" fontId="18" fillId="6" borderId="8" applyAlignment="1" pivotButton="0" quotePrefix="0" xfId="0">
      <alignment horizontal="center" vertical="center"/>
    </xf>
    <xf numFmtId="0" fontId="17" fillId="14" borderId="7" applyAlignment="1" pivotButton="0" quotePrefix="0" xfId="0">
      <alignment horizontal="left" vertical="center"/>
    </xf>
    <xf numFmtId="166" fontId="23" fillId="14" borderId="7" applyAlignment="1" pivotButton="0" quotePrefix="0" xfId="0">
      <alignment horizontal="center" vertical="center"/>
    </xf>
    <xf numFmtId="169" fontId="23" fillId="14" borderId="7" applyAlignment="1" pivotButton="0" quotePrefix="0" xfId="0">
      <alignment horizontal="center" vertical="center"/>
    </xf>
    <xf numFmtId="2" fontId="23" fillId="14" borderId="7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7" fillId="14" borderId="0" applyAlignment="1" pivotButton="0" quotePrefix="0" xfId="0">
      <alignment horizontal="left" vertical="center"/>
    </xf>
    <xf numFmtId="49" fontId="24" fillId="14" borderId="0" applyAlignment="1" pivotButton="0" quotePrefix="0" xfId="0">
      <alignment horizontal="center" vertical="center"/>
    </xf>
    <xf numFmtId="0" fontId="53" fillId="0" borderId="8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6B000C"/>
      <rgbColor rgb="FF1B7A2B"/>
      <rgbColor rgb="FF000080"/>
      <rgbColor rgb="FF808000"/>
      <rgbColor rgb="FF800080"/>
      <rgbColor rgb="FF008080"/>
      <rgbColor rgb="FFD9D9D9"/>
      <rgbColor rgb="FF878787"/>
      <rgbColor rgb="FF9999FF"/>
      <rgbColor rgb="FF993366"/>
      <rgbColor rgb="FFFFF8E1"/>
      <rgbColor rgb="FFF5F5F5"/>
      <rgbColor rgb="FF660066"/>
      <rgbColor rgb="FFFF8080"/>
      <rgbColor rgb="FF0066CC"/>
      <rgbColor rgb="FFD0D0D0"/>
      <rgbColor rgb="FF000080"/>
      <rgbColor rgb="FFFF00FF"/>
      <rgbColor rgb="FFFFFF00"/>
      <rgbColor rgb="FF00FFFF"/>
      <rgbColor rgb="FF800080"/>
      <rgbColor rgb="FF990013"/>
      <rgbColor rgb="FF008080"/>
      <rgbColor rgb="FF0000FF"/>
      <rgbColor rgb="FF00CCFF"/>
      <rgbColor rgb="FFF9F9F9"/>
      <rgbColor rgb="FFCCFFCC"/>
      <rgbColor rgb="FFFFFF99"/>
      <rgbColor rgb="FF99CCFF"/>
      <rgbColor rgb="FFFF99CC"/>
      <rgbColor rgb="FFCC99FF"/>
      <rgbColor rgb="FFF2E4B7"/>
      <rgbColor rgb="FF3366FF"/>
      <rgbColor rgb="FF33CCCC"/>
      <rgbColor rgb="FF99CC00"/>
      <rgbColor rgb="FFFFCC00"/>
      <rgbColor rgb="FFD4A017"/>
      <rgbColor rgb="FFE673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4A4A4A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charts/chart1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ROIC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6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'Metrics'!$H$14:$L$14</f>
            </numRef>
          </val>
          <smooth val="0"/>
        </ser>
        <ser>
          <idx val="1"/>
          <order val="1"/>
          <tx>
            <v>WACC (est.)</v>
          </tx>
          <spPr>
            <a:ln xmlns:a="http://schemas.openxmlformats.org/drawingml/2006/main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'ChartData'!$H$3:$L$3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%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2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Dividends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'Data'!$H$13:$L$13</f>
            </numRef>
          </cat>
          <val>
            <numRef>
              <f>'Data'!$H$55:$L$55</f>
            </numRef>
          </val>
        </ser>
        <ser>
          <idx val="1"/>
          <order val="1"/>
          <tx>
            <v>Buybacks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'Data'!$H$13:$L$13</f>
            </numRef>
          </cat>
          <val>
            <numRef>
              <f>'Data'!$H$56:$L$56</f>
            </numRef>
          </val>
        </ser>
        <gapWidth val="150"/>
        <axId val="10"/>
        <axId val="100"/>
      </barChart>
      <lineChart>
        <grouping val="standard"/>
        <ser>
          <idx val="2"/>
          <order val="2"/>
          <tx>
            <v>Diluted shares (M)</v>
          </tx>
          <spPr>
            <a:ln xmlns:a="http://schemas.openxmlformats.org/drawingml/2006/main" w="28000">
              <a:solidFill>
                <a:srgbClr val="2F5D8A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2F5D8A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'Data'!$H$28:$L$28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  <valAx>
        <axId val="200"/>
        <scaling>
          <orientation val="minMax"/>
        </scaling>
        <delete val="0"/>
        <axPos val="l"/>
        <majorGridlines/>
        <numFmt formatCode="#,##0" sourceLinked="0"/>
        <majorTickMark val="none"/>
        <minorTickMark val="none"/>
        <tickLblPos val="nextTo"/>
        <crossAx val="10"/>
        <crosses val="max"/>
      </valAx>
    </plotArea>
    <legend>
      <legendPos val="t"/>
      <overlay val="0"/>
    </legend>
    <plotVisOnly val="1"/>
    <dispBlanksAs val="gap"/>
  </chart>
</chartSpace>
</file>

<file path=xl/charts/chart3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Revenue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'Data'!$B$14:$L$14</f>
            </numRef>
          </val>
        </ser>
        <ser>
          <idx val="1"/>
          <order val="1"/>
          <tx>
            <v>Operating income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'Data'!$B$22:$L$22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4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Operating margin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'Data'!$C$13:$L$13</f>
            </numRef>
          </cat>
          <val>
            <numRef>
              <f>'Metrics'!$C$6:$L$6</f>
            </numRef>
          </val>
          <smooth val="0"/>
        </ser>
        <ser>
          <idx val="1"/>
          <order val="1"/>
          <tx>
            <v>Average</v>
          </tx>
          <spPr>
            <a:ln xmlns:a="http://schemas.openxmlformats.org/drawingml/2006/main" w="28000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'Data'!$C$13:$L$13</f>
            </numRef>
          </cat>
          <val>
            <numRef>
              <f>'ChartData'!$C$5:$L$5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%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5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Diluted EPS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dLbls>
            <numFmt formatCode="&quot;$&quot;0.00"/>
            <showLegendKey val="0"/>
            <showVal val="1"/>
            <showCatName val="0"/>
            <showSerName val="0"/>
            <showPercent val="0"/>
            <showBubbleSize val="0"/>
          </dLbls>
          <cat>
            <numRef>
              <f>'Data'!$B$13:$L$13</f>
            </numRef>
          </cat>
          <val>
            <numRef>
              <f>'Data'!$B$27:$L$27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&quot;$&quot;0.0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plotVisOnly val="1"/>
    <dispBlanksAs val="gap"/>
  </chart>
</chartSpace>
</file>

<file path=xl/charts/chart6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Free cash flow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'Data'!$B$53:$L$53</f>
            </numRef>
          </val>
        </ser>
        <ser>
          <idx val="1"/>
          <order val="1"/>
          <tx>
            <v>Net income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'Data'!$B$26:$L$26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7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Dividends paid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'Data'!$B$55:$L$55</f>
            </numRef>
          </val>
        </ser>
        <ser>
          <idx val="1"/>
          <order val="1"/>
          <tx>
            <v>Share repurchases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'Data'!$B$56:$L$56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8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Total debt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'Data'!$B$35:$L$35</f>
            </numRef>
          </val>
        </ser>
        <ser>
          <idx val="1"/>
          <order val="1"/>
          <tx>
            <v>Net debt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'Data'!$B$36:$L$36</f>
            </numRef>
          </val>
        </ser>
        <gapWidth val="150"/>
        <axId val="10"/>
        <axId val="100"/>
      </barChart>
      <lineChart>
        <grouping val="standard"/>
        <ser>
          <idx val="2"/>
          <order val="2"/>
          <tx>
            <v>Debt / EBITDA (×)</v>
          </tx>
          <spPr>
            <a:ln xmlns:a="http://schemas.openxmlformats.org/drawingml/2006/main" w="28000">
              <a:solidFill>
                <a:srgbClr val="2F5D8A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2F5D8A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'Data'!$B$13:$L$13</f>
            </numRef>
          </cat>
          <val>
            <numRef>
              <f>'Metrics'!$B$18:$L$18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  <valAx>
        <axId val="200"/>
        <scaling>
          <orientation val="minMax"/>
        </scaling>
        <delete val="0"/>
        <axPos val="l"/>
        <majorGridlines/>
        <numFmt formatCode="0.0&quot;×&quot;" sourceLinked="0"/>
        <majorTickMark val="none"/>
        <minorTickMark val="none"/>
        <tickLblPos val="nextTo"/>
        <crossAx val="10"/>
        <crosses val="max"/>
      </valAx>
    </plotArea>
    <legend>
      <legendPos val="t"/>
      <overlay val="0"/>
    </legend>
    <plotVisOnly val="1"/>
    <dispBlanksAs val="gap"/>
  </chart>
</chartSpace>
</file>

<file path=xl/charts/chart9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strRef>
              <f>'ChartData'!B7</f>
            </strRef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prstDash val="solid"/>
            </a:ln>
          </spPr>
          <cat>
            <numRef>
              <f>'ChartData'!$A$8:$A$12</f>
            </numRef>
          </cat>
          <val>
            <numRef>
              <f>'ChartData'!$B$8:$B$12</f>
            </numRef>
          </val>
        </ser>
        <ser>
          <idx val="1"/>
          <order val="1"/>
          <tx>
            <strRef>
              <f>'ChartData'!C7</f>
            </strRef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prstDash val="solid"/>
            </a:ln>
          </spPr>
          <cat>
            <numRef>
              <f>'ChartData'!$A$8:$A$12</f>
            </numRef>
          </cat>
          <val>
            <numRef>
              <f>'ChartData'!$C$8:$C$12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&quot;×&quot;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10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EV/EBITDA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'Data'!$C$13:$L$13</f>
            </numRef>
          </cat>
          <val>
            <numRef>
              <f>'Metrics'!$C$181:$L$181</f>
            </numRef>
          </val>
          <smooth val="0"/>
        </ser>
        <ser>
          <idx val="1"/>
          <order val="1"/>
          <tx>
            <v>Average</v>
          </tx>
          <spPr>
            <a:ln xmlns:a="http://schemas.openxmlformats.org/drawingml/2006/main" w="28000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'Data'!$C$13:$L$13</f>
            </numRef>
          </cat>
          <val>
            <numRef>
              <f>'ChartData'!$C$14:$L$14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&quot;×&quot;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Relationship Type="http://schemas.openxmlformats.org/officeDocument/2006/relationships/chart" Target="/xl/charts/chart5.xml" Id="rId5"/><Relationship Type="http://schemas.openxmlformats.org/officeDocument/2006/relationships/chart" Target="/xl/charts/chart6.xml" Id="rId6"/><Relationship Type="http://schemas.openxmlformats.org/officeDocument/2006/relationships/chart" Target="/xl/charts/chart7.xml" Id="rId7"/><Relationship Type="http://schemas.openxmlformats.org/officeDocument/2006/relationships/chart" Target="/xl/charts/chart8.xml" Id="rId8"/><Relationship Type="http://schemas.openxmlformats.org/officeDocument/2006/relationships/chart" Target="/xl/charts/chart9.xml" Id="rId9"/><Relationship Type="http://schemas.openxmlformats.org/officeDocument/2006/relationships/chart" Target="/xl/charts/chart10.xml" Id="rId10"/><Relationship Type="http://schemas.openxmlformats.org/officeDocument/2006/relationships/image" Target="/xl/media/image1.png" Id="rId11"/><Relationship Type="http://schemas.openxmlformats.org/officeDocument/2006/relationships/image" Target="/xl/media/image2.png" Id="rId12"/><Relationship Type="http://schemas.openxmlformats.org/officeDocument/2006/relationships/image" Target="/xl/media/image3.png" Id="rId13"/></Relationships>
</file>

<file path=xl/drawings/_rels/drawing2.xml.rels><Relationships xmlns="http://schemas.openxmlformats.org/package/2006/relationships"><Relationship Type="http://schemas.openxmlformats.org/officeDocument/2006/relationships/image" Target="/xl/media/image4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5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6.png" Id="rId1"/></Relationships>
</file>

<file path=xl/drawings/_rels/drawing5.xml.rels><Relationships xmlns="http://schemas.openxmlformats.org/package/2006/relationships"><Relationship Type="http://schemas.openxmlformats.org/officeDocument/2006/relationships/image" Target="/xl/media/image7.png" Id="rId1"/></Relationships>
</file>

<file path=xl/drawings/_rels/drawing6.xml.rels><Relationships xmlns="http://schemas.openxmlformats.org/package/2006/relationships"><Relationship Type="http://schemas.openxmlformats.org/officeDocument/2006/relationships/image" Target="/xl/media/image8.png" Id="rId1"/></Relationships>
</file>

<file path=xl/drawings/_rels/drawing7.xml.rels><Relationships xmlns="http://schemas.openxmlformats.org/package/2006/relationships"><Relationship Type="http://schemas.openxmlformats.org/officeDocument/2006/relationships/image" Target="/xl/media/image9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15</row>
      <rowOff>0</rowOff>
    </from>
    <ext cx="7920000" cy="39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0</col>
      <colOff>0</colOff>
      <row>41</row>
      <rowOff>0</rowOff>
    </from>
    <ext cx="7920000" cy="396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70</row>
      <rowOff>0</rowOff>
    </from>
    <ext cx="7920000" cy="396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0</col>
      <colOff>0</colOff>
      <row>96</row>
      <rowOff>0</rowOff>
    </from>
    <ext cx="7920000" cy="3960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  <oneCellAnchor>
    <from>
      <col>0</col>
      <colOff>0</colOff>
      <row>122</row>
      <rowOff>0</rowOff>
    </from>
    <ext cx="7920000" cy="3960000"/>
    <graphicFrame>
      <nvGraphicFramePr>
        <cNvPr id="5" name="Chart 5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graphicFrame>
    <clientData/>
  </oneCellAnchor>
  <oneCellAnchor>
    <from>
      <col>0</col>
      <colOff>0</colOff>
      <row>148</row>
      <rowOff>0</rowOff>
    </from>
    <ext cx="7920000" cy="3960000"/>
    <graphicFrame>
      <nvGraphicFramePr>
        <cNvPr id="6" name="Chart 6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graphicFrame>
    <clientData/>
  </oneCellAnchor>
  <oneCellAnchor>
    <from>
      <col>0</col>
      <colOff>0</colOff>
      <row>174</row>
      <rowOff>0</rowOff>
    </from>
    <ext cx="7920000" cy="3960000"/>
    <graphicFrame>
      <nvGraphicFramePr>
        <cNvPr id="7" name="Chart 7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graphicFrame>
    <clientData/>
  </oneCellAnchor>
  <oneCellAnchor>
    <from>
      <col>0</col>
      <colOff>0</colOff>
      <row>200</row>
      <rowOff>0</rowOff>
    </from>
    <ext cx="7920000" cy="3960000"/>
    <graphicFrame>
      <nvGraphicFramePr>
        <cNvPr id="8" name="Chart 8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graphicFrame>
    <clientData/>
  </oneCellAnchor>
  <oneCellAnchor>
    <from>
      <col>0</col>
      <colOff>0</colOff>
      <row>255</row>
      <rowOff>0</rowOff>
    </from>
    <ext cx="7920000" cy="3960000"/>
    <graphicFrame>
      <nvGraphicFramePr>
        <cNvPr id="9" name="Chart 9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graphicFrame>
    <clientData/>
  </oneCellAnchor>
  <oneCellAnchor>
    <from>
      <col>0</col>
      <colOff>0</colOff>
      <row>281</row>
      <rowOff>0</rowOff>
    </from>
    <ext cx="7920000" cy="3960000"/>
    <graphicFrame>
      <nvGraphicFramePr>
        <cNvPr id="10" name="Chart 10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graphicFrame>
    <clientData/>
  </oneCellAnchor>
  <oneCellAnchor>
    <from>
      <col>0</col>
      <colOff>0</colOff>
      <row>0</row>
      <rowOff>0</rowOff>
    </from>
    <ext cx="2476500" cy="733425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0</col>
      <colOff>0</colOff>
      <row>229</row>
      <rowOff>0</rowOff>
    </from>
    <ext cx="6096000" cy="3390900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0</col>
      <colOff>0</colOff>
      <row>325</row>
      <rowOff>0</rowOff>
    </from>
    <ext cx="6096000" cy="3076575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3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4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5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6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7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5.xml" Id="rId1"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6.xml" Id="rId1"/></Relationships>
</file>

<file path=xl/worksheets/_rels/sheet7.xml.rels><Relationships xmlns="http://schemas.openxmlformats.org/package/2006/relationships"><Relationship Type="http://schemas.openxmlformats.org/officeDocument/2006/relationships/drawing" Target="/xl/drawings/drawing7.xml" Id="rId1"/></Relationships>
</file>

<file path=xl/worksheets/sheet1.xml><?xml version="1.0" encoding="utf-8"?>
<worksheet xmlns="http://schemas.openxmlformats.org/spreadsheetml/2006/main">
  <sheetPr>
    <tabColor rgb="FFF2E4B7"/>
    <outlinePr summaryBelow="1" summaryRight="1"/>
    <pageSetUpPr fitToPage="1"/>
  </sheetPr>
  <dimension ref="A1:M325"/>
  <sheetViews>
    <sheetView showGridLines="0" zoomScale="100" zoomScaleNormal="100" workbookViewId="0">
      <pane ySplit="1" topLeftCell="A2" activePane="bottomLeft" state="frozen"/>
      <selection activeCell="A1" sqref="A1"/>
    </sheetView>
  </sheetViews>
  <sheetFormatPr baseColWidth="10" defaultColWidth="8.6640625" defaultRowHeight="15"/>
  <cols>
    <col width="11" customWidth="1" style="74" min="1" max="1"/>
  </cols>
  <sheetData>
    <row r="1" ht="57.75" customHeight="1" s="74">
      <c r="A1" s="1" t="n"/>
    </row>
    <row r="2" ht="15" customHeight="1" s="74">
      <c r="A2" s="2" t="n"/>
    </row>
    <row r="3" ht="15" customHeight="1" s="74">
      <c r="A3" s="2" t="n"/>
    </row>
    <row r="4" ht="15" customHeight="1" s="74">
      <c r="A4" s="2" t="n"/>
    </row>
    <row r="5" ht="15" customHeight="1" s="74">
      <c r="A5" s="3" t="n"/>
    </row>
    <row r="6" ht="15" customHeight="1" s="74">
      <c r="A6" s="2" t="n"/>
    </row>
    <row r="7" ht="15" customHeight="1" s="74">
      <c r="A7" s="2" t="n"/>
    </row>
    <row r="8" ht="15" customHeight="1" s="74">
      <c r="A8" s="2" t="n"/>
    </row>
    <row r="11">
      <c r="A11" s="468" t="inlineStr">
        <is>
          <t>AMZN — Visual Summary</t>
        </is>
      </c>
      <c r="B11" s="435" t="n"/>
      <c r="C11" s="435" t="n"/>
      <c r="D11" s="435" t="n"/>
      <c r="E11" s="435" t="n"/>
      <c r="F11" s="435" t="n"/>
      <c r="G11" s="435" t="n"/>
      <c r="H11" s="435" t="n"/>
      <c r="I11" s="435" t="n"/>
      <c r="J11" s="435" t="n"/>
      <c r="K11" s="435" t="n"/>
      <c r="L11" s="435" t="n"/>
      <c r="M11" s="435" t="n"/>
    </row>
    <row r="12">
      <c r="A12" s="435" t="n"/>
      <c r="B12" s="435" t="n"/>
      <c r="C12" s="435" t="n"/>
      <c r="D12" s="435" t="n"/>
      <c r="E12" s="435" t="n"/>
      <c r="F12" s="435" t="n"/>
      <c r="G12" s="435" t="n"/>
      <c r="H12" s="435" t="n"/>
      <c r="I12" s="435" t="n"/>
      <c r="J12" s="435" t="n"/>
      <c r="K12" s="435" t="n"/>
      <c r="L12" s="435" t="n"/>
      <c r="M12" s="435" t="n"/>
    </row>
    <row r="13">
      <c r="A13" s="469" t="inlineStr">
        <is>
          <t>Business, Returns &amp; Capital Allocation</t>
        </is>
      </c>
      <c r="B13" s="470" t="n"/>
      <c r="C13" s="470" t="n"/>
      <c r="D13" s="470" t="n"/>
      <c r="E13" s="470" t="n"/>
      <c r="F13" s="470" t="n"/>
      <c r="G13" s="470" t="n"/>
      <c r="H13" s="470" t="n"/>
      <c r="I13" s="470" t="n"/>
      <c r="J13" s="470" t="n"/>
      <c r="K13" s="470" t="n"/>
      <c r="L13" s="470" t="n"/>
      <c r="M13" s="470" t="n"/>
    </row>
    <row r="14">
      <c r="A14" s="435" t="n"/>
      <c r="B14" s="435" t="n"/>
      <c r="C14" s="435" t="n"/>
      <c r="D14" s="435" t="n"/>
      <c r="E14" s="435" t="n"/>
      <c r="F14" s="435" t="n"/>
      <c r="G14" s="435" t="n"/>
      <c r="H14" s="435" t="n"/>
      <c r="I14" s="435" t="n"/>
      <c r="J14" s="435" t="n"/>
      <c r="K14" s="435" t="n"/>
      <c r="L14" s="435" t="n"/>
      <c r="M14" s="435" t="n"/>
    </row>
    <row r="15">
      <c r="A15" s="472" t="inlineStr">
        <is>
          <t>ROIC vs. Estimated WACC</t>
        </is>
      </c>
      <c r="B15" s="435" t="n"/>
      <c r="C15" s="435" t="n"/>
      <c r="D15" s="435" t="n"/>
      <c r="E15" s="435" t="n"/>
      <c r="F15" s="435" t="n"/>
      <c r="G15" s="435" t="n"/>
      <c r="H15" s="435" t="n"/>
      <c r="I15" s="435" t="n"/>
      <c r="J15" s="435" t="n"/>
      <c r="K15" s="435" t="n"/>
      <c r="L15" s="435" t="n"/>
      <c r="M15" s="435" t="n"/>
    </row>
    <row r="16">
      <c r="A16" s="435" t="n"/>
      <c r="B16" s="435" t="n"/>
      <c r="C16" s="435" t="n"/>
      <c r="D16" s="435" t="n"/>
      <c r="E16" s="435" t="n"/>
      <c r="F16" s="435" t="n"/>
      <c r="G16" s="435" t="n"/>
      <c r="H16" s="435" t="n"/>
      <c r="I16" s="435" t="n"/>
      <c r="J16" s="435" t="n"/>
      <c r="K16" s="435" t="n"/>
      <c r="L16" s="435" t="n"/>
      <c r="M16" s="435" t="n"/>
    </row>
    <row r="17">
      <c r="A17" s="435" t="n"/>
      <c r="B17" s="435" t="n"/>
      <c r="C17" s="435" t="n"/>
      <c r="D17" s="435" t="n"/>
      <c r="E17" s="435" t="n"/>
      <c r="F17" s="435" t="n"/>
      <c r="G17" s="435" t="n"/>
      <c r="H17" s="435" t="n"/>
      <c r="I17" s="435" t="n"/>
      <c r="J17" s="435" t="n"/>
      <c r="K17" s="435" t="n"/>
      <c r="L17" s="435" t="n"/>
      <c r="M17" s="435" t="n"/>
    </row>
    <row r="18">
      <c r="A18" s="435" t="n"/>
      <c r="B18" s="435" t="n"/>
      <c r="C18" s="435" t="n"/>
      <c r="D18" s="435" t="n"/>
      <c r="E18" s="435" t="n"/>
      <c r="F18" s="435" t="n"/>
      <c r="G18" s="435" t="n"/>
      <c r="H18" s="435" t="n"/>
      <c r="I18" s="435" t="n"/>
      <c r="J18" s="435" t="n"/>
      <c r="K18" s="435" t="n"/>
      <c r="L18" s="435" t="n"/>
      <c r="M18" s="435" t="n"/>
    </row>
    <row r="19">
      <c r="A19" s="435" t="n"/>
      <c r="B19" s="435" t="n"/>
      <c r="C19" s="435" t="n"/>
      <c r="D19" s="435" t="n"/>
      <c r="E19" s="435" t="n"/>
      <c r="F19" s="435" t="n"/>
      <c r="G19" s="435" t="n"/>
      <c r="H19" s="435" t="n"/>
      <c r="I19" s="435" t="n"/>
      <c r="J19" s="435" t="n"/>
      <c r="K19" s="435" t="n"/>
      <c r="L19" s="435" t="n"/>
      <c r="M19" s="435" t="n"/>
    </row>
    <row r="20">
      <c r="A20" s="435" t="n"/>
      <c r="B20" s="435" t="n"/>
      <c r="C20" s="435" t="n"/>
      <c r="D20" s="435" t="n"/>
      <c r="E20" s="435" t="n"/>
      <c r="F20" s="435" t="n"/>
      <c r="G20" s="435" t="n"/>
      <c r="H20" s="435" t="n"/>
      <c r="I20" s="435" t="n"/>
      <c r="J20" s="435" t="n"/>
      <c r="K20" s="435" t="n"/>
      <c r="L20" s="435" t="n"/>
      <c r="M20" s="435" t="n"/>
    </row>
    <row r="21">
      <c r="A21" s="435" t="n"/>
      <c r="B21" s="435" t="n"/>
      <c r="C21" s="435" t="n"/>
      <c r="D21" s="435" t="n"/>
      <c r="E21" s="435" t="n"/>
      <c r="F21" s="435" t="n"/>
      <c r="G21" s="435" t="n"/>
      <c r="H21" s="435" t="n"/>
      <c r="I21" s="435" t="n"/>
      <c r="J21" s="435" t="n"/>
      <c r="K21" s="435" t="n"/>
      <c r="L21" s="435" t="n"/>
      <c r="M21" s="435" t="n"/>
    </row>
    <row r="22">
      <c r="A22" s="435" t="n"/>
      <c r="B22" s="435" t="n"/>
      <c r="C22" s="435" t="n"/>
      <c r="D22" s="435" t="n"/>
      <c r="E22" s="435" t="n"/>
      <c r="F22" s="435" t="n"/>
      <c r="G22" s="435" t="n"/>
      <c r="H22" s="435" t="n"/>
      <c r="I22" s="435" t="n"/>
      <c r="J22" s="435" t="n"/>
      <c r="K22" s="435" t="n"/>
      <c r="L22" s="435" t="n"/>
      <c r="M22" s="435" t="n"/>
    </row>
    <row r="23">
      <c r="A23" s="435" t="n"/>
      <c r="B23" s="435" t="n"/>
      <c r="C23" s="435" t="n"/>
      <c r="D23" s="435" t="n"/>
      <c r="E23" s="435" t="n"/>
      <c r="F23" s="435" t="n"/>
      <c r="G23" s="435" t="n"/>
      <c r="H23" s="435" t="n"/>
      <c r="I23" s="435" t="n"/>
      <c r="J23" s="435" t="n"/>
      <c r="K23" s="435" t="n"/>
      <c r="L23" s="435" t="n"/>
      <c r="M23" s="435" t="n"/>
    </row>
    <row r="24">
      <c r="A24" s="435" t="n"/>
      <c r="B24" s="435" t="n"/>
      <c r="C24" s="435" t="n"/>
      <c r="D24" s="435" t="n"/>
      <c r="E24" s="435" t="n"/>
      <c r="F24" s="435" t="n"/>
      <c r="G24" s="435" t="n"/>
      <c r="H24" s="435" t="n"/>
      <c r="I24" s="435" t="n"/>
      <c r="J24" s="435" t="n"/>
      <c r="K24" s="435" t="n"/>
      <c r="L24" s="435" t="n"/>
      <c r="M24" s="435" t="n"/>
    </row>
    <row r="25">
      <c r="A25" s="435" t="n"/>
      <c r="B25" s="435" t="n"/>
      <c r="C25" s="435" t="n"/>
      <c r="D25" s="435" t="n"/>
      <c r="E25" s="435" t="n"/>
      <c r="F25" s="435" t="n"/>
      <c r="G25" s="435" t="n"/>
      <c r="H25" s="435" t="n"/>
      <c r="I25" s="435" t="n"/>
      <c r="J25" s="435" t="n"/>
      <c r="K25" s="435" t="n"/>
      <c r="L25" s="435" t="n"/>
      <c r="M25" s="435" t="n"/>
    </row>
    <row r="26">
      <c r="A26" s="435" t="n"/>
      <c r="B26" s="435" t="n"/>
      <c r="C26" s="435" t="n"/>
      <c r="D26" s="435" t="n"/>
      <c r="E26" s="435" t="n"/>
      <c r="F26" s="435" t="n"/>
      <c r="G26" s="435" t="n"/>
      <c r="H26" s="435" t="n"/>
      <c r="I26" s="435" t="n"/>
      <c r="J26" s="435" t="n"/>
      <c r="K26" s="435" t="n"/>
      <c r="L26" s="435" t="n"/>
      <c r="M26" s="435" t="n"/>
    </row>
    <row r="27">
      <c r="A27" s="435" t="n"/>
      <c r="B27" s="435" t="n"/>
      <c r="C27" s="435" t="n"/>
      <c r="D27" s="435" t="n"/>
      <c r="E27" s="435" t="n"/>
      <c r="F27" s="435" t="n"/>
      <c r="G27" s="435" t="n"/>
      <c r="H27" s="435" t="n"/>
      <c r="I27" s="435" t="n"/>
      <c r="J27" s="435" t="n"/>
      <c r="K27" s="435" t="n"/>
      <c r="L27" s="435" t="n"/>
      <c r="M27" s="435" t="n"/>
    </row>
    <row r="28">
      <c r="A28" s="435" t="n"/>
      <c r="B28" s="435" t="n"/>
      <c r="C28" s="435" t="n"/>
      <c r="D28" s="435" t="n"/>
      <c r="E28" s="435" t="n"/>
      <c r="F28" s="435" t="n"/>
      <c r="G28" s="435" t="n"/>
      <c r="H28" s="435" t="n"/>
      <c r="I28" s="435" t="n"/>
      <c r="J28" s="435" t="n"/>
      <c r="K28" s="435" t="n"/>
      <c r="L28" s="435" t="n"/>
      <c r="M28" s="435" t="n"/>
    </row>
    <row r="29">
      <c r="A29" s="435" t="n"/>
      <c r="B29" s="435" t="n"/>
      <c r="C29" s="435" t="n"/>
      <c r="D29" s="435" t="n"/>
      <c r="E29" s="435" t="n"/>
      <c r="F29" s="435" t="n"/>
      <c r="G29" s="435" t="n"/>
      <c r="H29" s="435" t="n"/>
      <c r="I29" s="435" t="n"/>
      <c r="J29" s="435" t="n"/>
      <c r="K29" s="435" t="n"/>
      <c r="L29" s="435" t="n"/>
      <c r="M29" s="435" t="n"/>
    </row>
    <row r="30">
      <c r="A30" s="435" t="n"/>
      <c r="B30" s="435" t="n"/>
      <c r="C30" s="435" t="n"/>
      <c r="D30" s="435" t="n"/>
      <c r="E30" s="435" t="n"/>
      <c r="F30" s="435" t="n"/>
      <c r="G30" s="435" t="n"/>
      <c r="H30" s="435" t="n"/>
      <c r="I30" s="435" t="n"/>
      <c r="J30" s="435" t="n"/>
      <c r="K30" s="435" t="n"/>
      <c r="L30" s="435" t="n"/>
      <c r="M30" s="435" t="n"/>
    </row>
    <row r="31">
      <c r="A31" s="435" t="n"/>
      <c r="B31" s="435" t="n"/>
      <c r="C31" s="435" t="n"/>
      <c r="D31" s="435" t="n"/>
      <c r="E31" s="435" t="n"/>
      <c r="F31" s="435" t="n"/>
      <c r="G31" s="435" t="n"/>
      <c r="H31" s="435" t="n"/>
      <c r="I31" s="435" t="n"/>
      <c r="J31" s="435" t="n"/>
      <c r="K31" s="435" t="n"/>
      <c r="L31" s="435" t="n"/>
      <c r="M31" s="435" t="n"/>
    </row>
    <row r="32">
      <c r="A32" s="435" t="n"/>
      <c r="B32" s="435" t="n"/>
      <c r="C32" s="435" t="n"/>
      <c r="D32" s="435" t="n"/>
      <c r="E32" s="435" t="n"/>
      <c r="F32" s="435" t="n"/>
      <c r="G32" s="435" t="n"/>
      <c r="H32" s="435" t="n"/>
      <c r="I32" s="435" t="n"/>
      <c r="J32" s="435" t="n"/>
      <c r="K32" s="435" t="n"/>
      <c r="L32" s="435" t="n"/>
      <c r="M32" s="435" t="n"/>
    </row>
    <row r="33">
      <c r="A33" s="435" t="n"/>
      <c r="B33" s="435" t="n"/>
      <c r="C33" s="435" t="n"/>
      <c r="D33" s="435" t="n"/>
      <c r="E33" s="435" t="n"/>
      <c r="F33" s="435" t="n"/>
      <c r="G33" s="435" t="n"/>
      <c r="H33" s="435" t="n"/>
      <c r="I33" s="435" t="n"/>
      <c r="J33" s="435" t="n"/>
      <c r="K33" s="435" t="n"/>
      <c r="L33" s="435" t="n"/>
      <c r="M33" s="435" t="n"/>
    </row>
    <row r="34">
      <c r="A34" s="435" t="n"/>
      <c r="B34" s="435" t="n"/>
      <c r="C34" s="435" t="n"/>
      <c r="D34" s="435" t="n"/>
      <c r="E34" s="435" t="n"/>
      <c r="F34" s="435" t="n"/>
      <c r="G34" s="435" t="n"/>
      <c r="H34" s="435" t="n"/>
      <c r="I34" s="435" t="n"/>
      <c r="J34" s="435" t="n"/>
      <c r="K34" s="435" t="n"/>
      <c r="L34" s="435" t="n"/>
      <c r="M34" s="435" t="n"/>
    </row>
    <row r="35">
      <c r="A35" s="435" t="n"/>
      <c r="B35" s="435" t="n"/>
      <c r="C35" s="435" t="n"/>
      <c r="D35" s="435" t="n"/>
      <c r="E35" s="435" t="n"/>
      <c r="F35" s="435" t="n"/>
      <c r="G35" s="435" t="n"/>
      <c r="H35" s="435" t="n"/>
      <c r="I35" s="435" t="n"/>
      <c r="J35" s="435" t="n"/>
      <c r="K35" s="435" t="n"/>
      <c r="L35" s="435" t="n"/>
      <c r="M35" s="435" t="n"/>
    </row>
    <row r="36">
      <c r="A36" s="435" t="n"/>
      <c r="B36" s="435" t="n"/>
      <c r="C36" s="435" t="n"/>
      <c r="D36" s="435" t="n"/>
      <c r="E36" s="435" t="n"/>
      <c r="F36" s="435" t="n"/>
      <c r="G36" s="435" t="n"/>
      <c r="H36" s="435" t="n"/>
      <c r="I36" s="435" t="n"/>
      <c r="J36" s="435" t="n"/>
      <c r="K36" s="435" t="n"/>
      <c r="L36" s="435" t="n"/>
      <c r="M36" s="435" t="n"/>
    </row>
    <row r="37">
      <c r="A37" s="435" t="n"/>
      <c r="B37" s="435" t="n"/>
      <c r="C37" s="435" t="n"/>
      <c r="D37" s="435" t="n"/>
      <c r="E37" s="435" t="n"/>
      <c r="F37" s="435" t="n"/>
      <c r="G37" s="435" t="n"/>
      <c r="H37" s="435" t="n"/>
      <c r="I37" s="435" t="n"/>
      <c r="J37" s="435" t="n"/>
      <c r="K37" s="435" t="n"/>
      <c r="L37" s="435" t="n"/>
      <c r="M37" s="435" t="n"/>
    </row>
    <row r="38">
      <c r="A38" s="435" t="n"/>
      <c r="B38" s="435" t="n"/>
      <c r="C38" s="435" t="n"/>
      <c r="D38" s="435" t="n"/>
      <c r="E38" s="435" t="n"/>
      <c r="F38" s="435" t="n"/>
      <c r="G38" s="435" t="n"/>
      <c r="H38" s="435" t="n"/>
      <c r="I38" s="435" t="n"/>
      <c r="J38" s="435" t="n"/>
      <c r="K38" s="435" t="n"/>
      <c r="L38" s="435" t="n"/>
      <c r="M38" s="435" t="n"/>
    </row>
    <row r="39">
      <c r="A39" s="435" t="n"/>
      <c r="B39" s="435" t="n"/>
      <c r="C39" s="435" t="n"/>
      <c r="D39" s="435" t="n"/>
      <c r="E39" s="435" t="n"/>
      <c r="F39" s="435" t="n"/>
      <c r="G39" s="435" t="n"/>
      <c r="H39" s="435" t="n"/>
      <c r="I39" s="435" t="n"/>
      <c r="J39" s="435" t="n"/>
      <c r="K39" s="435" t="n"/>
      <c r="L39" s="435" t="n"/>
      <c r="M39" s="435" t="n"/>
    </row>
    <row r="40">
      <c r="A40" s="435" t="n"/>
      <c r="B40" s="435" t="n"/>
      <c r="C40" s="435" t="n"/>
      <c r="D40" s="435" t="n"/>
      <c r="E40" s="435" t="n"/>
      <c r="F40" s="435" t="n"/>
      <c r="G40" s="435" t="n"/>
      <c r="H40" s="435" t="n"/>
      <c r="I40" s="435" t="n"/>
      <c r="J40" s="435" t="n"/>
      <c r="K40" s="435" t="n"/>
      <c r="L40" s="435" t="n"/>
      <c r="M40" s="435" t="n"/>
    </row>
    <row r="41">
      <c r="A41" s="472" t="inlineStr">
        <is>
          <t>Capital Returns &amp; Diluted Shares</t>
        </is>
      </c>
      <c r="B41" s="435" t="n"/>
      <c r="C41" s="435" t="n"/>
      <c r="D41" s="435" t="n"/>
      <c r="E41" s="435" t="n"/>
      <c r="F41" s="435" t="n"/>
      <c r="G41" s="435" t="n"/>
      <c r="H41" s="435" t="n"/>
      <c r="I41" s="435" t="n"/>
      <c r="J41" s="435" t="n"/>
      <c r="K41" s="435" t="n"/>
      <c r="L41" s="435" t="n"/>
      <c r="M41" s="435" t="n"/>
    </row>
    <row r="42">
      <c r="A42" s="435" t="n"/>
      <c r="B42" s="435" t="n"/>
      <c r="C42" s="435" t="n"/>
      <c r="D42" s="435" t="n"/>
      <c r="E42" s="435" t="n"/>
      <c r="F42" s="435" t="n"/>
      <c r="G42" s="435" t="n"/>
      <c r="H42" s="435" t="n"/>
      <c r="I42" s="435" t="n"/>
      <c r="J42" s="435" t="n"/>
      <c r="K42" s="435" t="n"/>
      <c r="L42" s="435" t="n"/>
      <c r="M42" s="435" t="n"/>
    </row>
    <row r="43">
      <c r="A43" s="435" t="n"/>
      <c r="B43" s="435" t="n"/>
      <c r="C43" s="435" t="n"/>
      <c r="D43" s="435" t="n"/>
      <c r="E43" s="435" t="n"/>
      <c r="F43" s="435" t="n"/>
      <c r="G43" s="435" t="n"/>
      <c r="H43" s="435" t="n"/>
      <c r="I43" s="435" t="n"/>
      <c r="J43" s="435" t="n"/>
      <c r="K43" s="435" t="n"/>
      <c r="L43" s="435" t="n"/>
      <c r="M43" s="435" t="n"/>
    </row>
    <row r="44">
      <c r="A44" s="435" t="n"/>
      <c r="B44" s="435" t="n"/>
      <c r="C44" s="435" t="n"/>
      <c r="D44" s="435" t="n"/>
      <c r="E44" s="435" t="n"/>
      <c r="F44" s="435" t="n"/>
      <c r="G44" s="435" t="n"/>
      <c r="H44" s="435" t="n"/>
      <c r="I44" s="435" t="n"/>
      <c r="J44" s="435" t="n"/>
      <c r="K44" s="435" t="n"/>
      <c r="L44" s="435" t="n"/>
      <c r="M44" s="435" t="n"/>
    </row>
    <row r="45">
      <c r="A45" s="435" t="n"/>
      <c r="B45" s="435" t="n"/>
      <c r="C45" s="435" t="n"/>
      <c r="D45" s="435" t="n"/>
      <c r="E45" s="435" t="n"/>
      <c r="F45" s="435" t="n"/>
      <c r="G45" s="435" t="n"/>
      <c r="H45" s="435" t="n"/>
      <c r="I45" s="435" t="n"/>
      <c r="J45" s="435" t="n"/>
      <c r="K45" s="435" t="n"/>
      <c r="L45" s="435" t="n"/>
      <c r="M45" s="435" t="n"/>
    </row>
    <row r="46">
      <c r="A46" s="435" t="n"/>
      <c r="B46" s="435" t="n"/>
      <c r="C46" s="435" t="n"/>
      <c r="D46" s="435" t="n"/>
      <c r="E46" s="435" t="n"/>
      <c r="F46" s="435" t="n"/>
      <c r="G46" s="435" t="n"/>
      <c r="H46" s="435" t="n"/>
      <c r="I46" s="435" t="n"/>
      <c r="J46" s="435" t="n"/>
      <c r="K46" s="435" t="n"/>
      <c r="L46" s="435" t="n"/>
      <c r="M46" s="435" t="n"/>
    </row>
    <row r="47">
      <c r="A47" s="435" t="n"/>
      <c r="B47" s="435" t="n"/>
      <c r="C47" s="435" t="n"/>
      <c r="D47" s="435" t="n"/>
      <c r="E47" s="435" t="n"/>
      <c r="F47" s="435" t="n"/>
      <c r="G47" s="435" t="n"/>
      <c r="H47" s="435" t="n"/>
      <c r="I47" s="435" t="n"/>
      <c r="J47" s="435" t="n"/>
      <c r="K47" s="435" t="n"/>
      <c r="L47" s="435" t="n"/>
      <c r="M47" s="435" t="n"/>
    </row>
    <row r="48">
      <c r="A48" s="435" t="n"/>
      <c r="B48" s="435" t="n"/>
      <c r="C48" s="435" t="n"/>
      <c r="D48" s="435" t="n"/>
      <c r="E48" s="435" t="n"/>
      <c r="F48" s="435" t="n"/>
      <c r="G48" s="435" t="n"/>
      <c r="H48" s="435" t="n"/>
      <c r="I48" s="435" t="n"/>
      <c r="J48" s="435" t="n"/>
      <c r="K48" s="435" t="n"/>
      <c r="L48" s="435" t="n"/>
      <c r="M48" s="435" t="n"/>
    </row>
    <row r="49">
      <c r="A49" s="435" t="n"/>
      <c r="B49" s="435" t="n"/>
      <c r="C49" s="435" t="n"/>
      <c r="D49" s="435" t="n"/>
      <c r="E49" s="435" t="n"/>
      <c r="F49" s="435" t="n"/>
      <c r="G49" s="435" t="n"/>
      <c r="H49" s="435" t="n"/>
      <c r="I49" s="435" t="n"/>
      <c r="J49" s="435" t="n"/>
      <c r="K49" s="435" t="n"/>
      <c r="L49" s="435" t="n"/>
      <c r="M49" s="435" t="n"/>
    </row>
    <row r="50">
      <c r="A50" s="435" t="n"/>
      <c r="B50" s="435" t="n"/>
      <c r="C50" s="435" t="n"/>
      <c r="D50" s="435" t="n"/>
      <c r="E50" s="435" t="n"/>
      <c r="F50" s="435" t="n"/>
      <c r="G50" s="435" t="n"/>
      <c r="H50" s="435" t="n"/>
      <c r="I50" s="435" t="n"/>
      <c r="J50" s="435" t="n"/>
      <c r="K50" s="435" t="n"/>
      <c r="L50" s="435" t="n"/>
      <c r="M50" s="435" t="n"/>
    </row>
    <row r="51">
      <c r="A51" s="435" t="n"/>
      <c r="B51" s="435" t="n"/>
      <c r="C51" s="435" t="n"/>
      <c r="D51" s="435" t="n"/>
      <c r="E51" s="435" t="n"/>
      <c r="F51" s="435" t="n"/>
      <c r="G51" s="435" t="n"/>
      <c r="H51" s="435" t="n"/>
      <c r="I51" s="435" t="n"/>
      <c r="J51" s="435" t="n"/>
      <c r="K51" s="435" t="n"/>
      <c r="L51" s="435" t="n"/>
      <c r="M51" s="435" t="n"/>
    </row>
    <row r="52">
      <c r="A52" s="435" t="n"/>
      <c r="B52" s="435" t="n"/>
      <c r="C52" s="435" t="n"/>
      <c r="D52" s="435" t="n"/>
      <c r="E52" s="435" t="n"/>
      <c r="F52" s="435" t="n"/>
      <c r="G52" s="435" t="n"/>
      <c r="H52" s="435" t="n"/>
      <c r="I52" s="435" t="n"/>
      <c r="J52" s="435" t="n"/>
      <c r="K52" s="435" t="n"/>
      <c r="L52" s="435" t="n"/>
      <c r="M52" s="435" t="n"/>
    </row>
    <row r="53">
      <c r="A53" s="435" t="n"/>
      <c r="B53" s="435" t="n"/>
      <c r="C53" s="435" t="n"/>
      <c r="D53" s="435" t="n"/>
      <c r="E53" s="435" t="n"/>
      <c r="F53" s="435" t="n"/>
      <c r="G53" s="435" t="n"/>
      <c r="H53" s="435" t="n"/>
      <c r="I53" s="435" t="n"/>
      <c r="J53" s="435" t="n"/>
      <c r="K53" s="435" t="n"/>
      <c r="L53" s="435" t="n"/>
      <c r="M53" s="435" t="n"/>
    </row>
    <row r="54">
      <c r="A54" s="435" t="n"/>
      <c r="B54" s="435" t="n"/>
      <c r="C54" s="435" t="n"/>
      <c r="D54" s="435" t="n"/>
      <c r="E54" s="435" t="n"/>
      <c r="F54" s="435" t="n"/>
      <c r="G54" s="435" t="n"/>
      <c r="H54" s="435" t="n"/>
      <c r="I54" s="435" t="n"/>
      <c r="J54" s="435" t="n"/>
      <c r="K54" s="435" t="n"/>
      <c r="L54" s="435" t="n"/>
      <c r="M54" s="435" t="n"/>
    </row>
    <row r="55">
      <c r="A55" s="435" t="n"/>
      <c r="B55" s="435" t="n"/>
      <c r="C55" s="435" t="n"/>
      <c r="D55" s="435" t="n"/>
      <c r="E55" s="435" t="n"/>
      <c r="F55" s="435" t="n"/>
      <c r="G55" s="435" t="n"/>
      <c r="H55" s="435" t="n"/>
      <c r="I55" s="435" t="n"/>
      <c r="J55" s="435" t="n"/>
      <c r="K55" s="435" t="n"/>
      <c r="L55" s="435" t="n"/>
      <c r="M55" s="435" t="n"/>
    </row>
    <row r="56">
      <c r="A56" s="435" t="n"/>
      <c r="B56" s="435" t="n"/>
      <c r="C56" s="435" t="n"/>
      <c r="D56" s="435" t="n"/>
      <c r="E56" s="435" t="n"/>
      <c r="F56" s="435" t="n"/>
      <c r="G56" s="435" t="n"/>
      <c r="H56" s="435" t="n"/>
      <c r="I56" s="435" t="n"/>
      <c r="J56" s="435" t="n"/>
      <c r="K56" s="435" t="n"/>
      <c r="L56" s="435" t="n"/>
      <c r="M56" s="435" t="n"/>
    </row>
    <row r="57">
      <c r="A57" s="435" t="n"/>
      <c r="B57" s="435" t="n"/>
      <c r="C57" s="435" t="n"/>
      <c r="D57" s="435" t="n"/>
      <c r="E57" s="435" t="n"/>
      <c r="F57" s="435" t="n"/>
      <c r="G57" s="435" t="n"/>
      <c r="H57" s="435" t="n"/>
      <c r="I57" s="435" t="n"/>
      <c r="J57" s="435" t="n"/>
      <c r="K57" s="435" t="n"/>
      <c r="L57" s="435" t="n"/>
      <c r="M57" s="435" t="n"/>
    </row>
    <row r="58">
      <c r="A58" s="435" t="n"/>
      <c r="B58" s="435" t="n"/>
      <c r="C58" s="435" t="n"/>
      <c r="D58" s="435" t="n"/>
      <c r="E58" s="435" t="n"/>
      <c r="F58" s="435" t="n"/>
      <c r="G58" s="435" t="n"/>
      <c r="H58" s="435" t="n"/>
      <c r="I58" s="435" t="n"/>
      <c r="J58" s="435" t="n"/>
      <c r="K58" s="435" t="n"/>
      <c r="L58" s="435" t="n"/>
      <c r="M58" s="435" t="n"/>
    </row>
    <row r="59">
      <c r="A59" s="435" t="n"/>
      <c r="B59" s="435" t="n"/>
      <c r="C59" s="435" t="n"/>
      <c r="D59" s="435" t="n"/>
      <c r="E59" s="435" t="n"/>
      <c r="F59" s="435" t="n"/>
      <c r="G59" s="435" t="n"/>
      <c r="H59" s="435" t="n"/>
      <c r="I59" s="435" t="n"/>
      <c r="J59" s="435" t="n"/>
      <c r="K59" s="435" t="n"/>
      <c r="L59" s="435" t="n"/>
      <c r="M59" s="435" t="n"/>
    </row>
    <row r="60">
      <c r="A60" s="435" t="n"/>
      <c r="B60" s="435" t="n"/>
      <c r="C60" s="435" t="n"/>
      <c r="D60" s="435" t="n"/>
      <c r="E60" s="435" t="n"/>
      <c r="F60" s="435" t="n"/>
      <c r="G60" s="435" t="n"/>
      <c r="H60" s="435" t="n"/>
      <c r="I60" s="435" t="n"/>
      <c r="J60" s="435" t="n"/>
      <c r="K60" s="435" t="n"/>
      <c r="L60" s="435" t="n"/>
      <c r="M60" s="435" t="n"/>
    </row>
    <row r="61">
      <c r="A61" s="435" t="n"/>
      <c r="B61" s="435" t="n"/>
      <c r="C61" s="435" t="n"/>
      <c r="D61" s="435" t="n"/>
      <c r="E61" s="435" t="n"/>
      <c r="F61" s="435" t="n"/>
      <c r="G61" s="435" t="n"/>
      <c r="H61" s="435" t="n"/>
      <c r="I61" s="435" t="n"/>
      <c r="J61" s="435" t="n"/>
      <c r="K61" s="435" t="n"/>
      <c r="L61" s="435" t="n"/>
      <c r="M61" s="435" t="n"/>
    </row>
    <row r="62">
      <c r="A62" s="435" t="n"/>
      <c r="B62" s="435" t="n"/>
      <c r="C62" s="435" t="n"/>
      <c r="D62" s="435" t="n"/>
      <c r="E62" s="435" t="n"/>
      <c r="F62" s="435" t="n"/>
      <c r="G62" s="435" t="n"/>
      <c r="H62" s="435" t="n"/>
      <c r="I62" s="435" t="n"/>
      <c r="J62" s="435" t="n"/>
      <c r="K62" s="435" t="n"/>
      <c r="L62" s="435" t="n"/>
      <c r="M62" s="435" t="n"/>
    </row>
    <row r="63">
      <c r="A63" s="435" t="n"/>
      <c r="B63" s="435" t="n"/>
      <c r="C63" s="435" t="n"/>
      <c r="D63" s="435" t="n"/>
      <c r="E63" s="435" t="n"/>
      <c r="F63" s="435" t="n"/>
      <c r="G63" s="435" t="n"/>
      <c r="H63" s="435" t="n"/>
      <c r="I63" s="435" t="n"/>
      <c r="J63" s="435" t="n"/>
      <c r="K63" s="435" t="n"/>
      <c r="L63" s="435" t="n"/>
      <c r="M63" s="435" t="n"/>
    </row>
    <row r="64">
      <c r="A64" s="435" t="n"/>
      <c r="B64" s="435" t="n"/>
      <c r="C64" s="435" t="n"/>
      <c r="D64" s="435" t="n"/>
      <c r="E64" s="435" t="n"/>
      <c r="F64" s="435" t="n"/>
      <c r="G64" s="435" t="n"/>
      <c r="H64" s="435" t="n"/>
      <c r="I64" s="435" t="n"/>
      <c r="J64" s="435" t="n"/>
      <c r="K64" s="435" t="n"/>
      <c r="L64" s="435" t="n"/>
      <c r="M64" s="435" t="n"/>
    </row>
    <row r="65">
      <c r="A65" s="435" t="n"/>
      <c r="B65" s="435" t="n"/>
      <c r="C65" s="435" t="n"/>
      <c r="D65" s="435" t="n"/>
      <c r="E65" s="435" t="n"/>
      <c r="F65" s="435" t="n"/>
      <c r="G65" s="435" t="n"/>
      <c r="H65" s="435" t="n"/>
      <c r="I65" s="435" t="n"/>
      <c r="J65" s="435" t="n"/>
      <c r="K65" s="435" t="n"/>
      <c r="L65" s="435" t="n"/>
      <c r="M65" s="435" t="n"/>
    </row>
    <row r="66">
      <c r="A66" s="435" t="n"/>
      <c r="B66" s="435" t="n"/>
      <c r="C66" s="435" t="n"/>
      <c r="D66" s="435" t="n"/>
      <c r="E66" s="435" t="n"/>
      <c r="F66" s="435" t="n"/>
      <c r="G66" s="435" t="n"/>
      <c r="H66" s="435" t="n"/>
      <c r="I66" s="435" t="n"/>
      <c r="J66" s="435" t="n"/>
      <c r="K66" s="435" t="n"/>
      <c r="L66" s="435" t="n"/>
      <c r="M66" s="435" t="n"/>
    </row>
    <row r="67">
      <c r="A67" s="435" t="n"/>
      <c r="B67" s="435" t="n"/>
      <c r="C67" s="435" t="n"/>
      <c r="D67" s="435" t="n"/>
      <c r="E67" s="435" t="n"/>
      <c r="F67" s="435" t="n"/>
      <c r="G67" s="435" t="n"/>
      <c r="H67" s="435" t="n"/>
      <c r="I67" s="435" t="n"/>
      <c r="J67" s="435" t="n"/>
      <c r="K67" s="435" t="n"/>
      <c r="L67" s="435" t="n"/>
      <c r="M67" s="435" t="n"/>
    </row>
    <row r="68">
      <c r="A68" s="469" t="inlineStr">
        <is>
          <t>Financial Performance (10-Year)</t>
        </is>
      </c>
      <c r="B68" s="470" t="n"/>
      <c r="C68" s="470" t="n"/>
      <c r="D68" s="470" t="n"/>
      <c r="E68" s="470" t="n"/>
      <c r="F68" s="470" t="n"/>
      <c r="G68" s="470" t="n"/>
      <c r="H68" s="470" t="n"/>
      <c r="I68" s="470" t="n"/>
      <c r="J68" s="470" t="n"/>
      <c r="K68" s="470" t="n"/>
      <c r="L68" s="470" t="n"/>
      <c r="M68" s="470" t="n"/>
    </row>
    <row r="69">
      <c r="A69" s="435" t="n"/>
      <c r="B69" s="435" t="n"/>
      <c r="C69" s="435" t="n"/>
      <c r="D69" s="435" t="n"/>
      <c r="E69" s="435" t="n"/>
      <c r="F69" s="435" t="n"/>
      <c r="G69" s="435" t="n"/>
      <c r="H69" s="435" t="n"/>
      <c r="I69" s="435" t="n"/>
      <c r="J69" s="435" t="n"/>
      <c r="K69" s="435" t="n"/>
      <c r="L69" s="435" t="n"/>
      <c r="M69" s="435" t="n"/>
    </row>
    <row r="70">
      <c r="A70" s="472" t="inlineStr">
        <is>
          <t>Revenue &amp; Operating Income</t>
        </is>
      </c>
      <c r="B70" s="435" t="n"/>
      <c r="C70" s="435" t="n"/>
      <c r="D70" s="435" t="n"/>
      <c r="E70" s="435" t="n"/>
      <c r="F70" s="435" t="n"/>
      <c r="G70" s="435" t="n"/>
      <c r="H70" s="435" t="n"/>
      <c r="I70" s="435" t="n"/>
      <c r="J70" s="435" t="n"/>
      <c r="K70" s="435" t="n"/>
      <c r="L70" s="435" t="n"/>
      <c r="M70" s="435" t="n"/>
    </row>
    <row r="71">
      <c r="A71" s="435" t="n"/>
      <c r="B71" s="435" t="n"/>
      <c r="C71" s="435" t="n"/>
      <c r="D71" s="435" t="n"/>
      <c r="E71" s="435" t="n"/>
      <c r="F71" s="435" t="n"/>
      <c r="G71" s="435" t="n"/>
      <c r="H71" s="435" t="n"/>
      <c r="I71" s="435" t="n"/>
      <c r="J71" s="435" t="n"/>
      <c r="K71" s="435" t="n"/>
      <c r="L71" s="435" t="n"/>
      <c r="M71" s="435" t="n"/>
    </row>
    <row r="72">
      <c r="A72" s="435" t="n"/>
      <c r="B72" s="435" t="n"/>
      <c r="C72" s="435" t="n"/>
      <c r="D72" s="435" t="n"/>
      <c r="E72" s="435" t="n"/>
      <c r="F72" s="435" t="n"/>
      <c r="G72" s="435" t="n"/>
      <c r="H72" s="435" t="n"/>
      <c r="I72" s="435" t="n"/>
      <c r="J72" s="435" t="n"/>
      <c r="K72" s="435" t="n"/>
      <c r="L72" s="435" t="n"/>
      <c r="M72" s="435" t="n"/>
    </row>
    <row r="73">
      <c r="A73" s="435" t="n"/>
      <c r="B73" s="435" t="n"/>
      <c r="C73" s="435" t="n"/>
      <c r="D73" s="435" t="n"/>
      <c r="E73" s="435" t="n"/>
      <c r="F73" s="435" t="n"/>
      <c r="G73" s="435" t="n"/>
      <c r="H73" s="435" t="n"/>
      <c r="I73" s="435" t="n"/>
      <c r="J73" s="435" t="n"/>
      <c r="K73" s="435" t="n"/>
      <c r="L73" s="435" t="n"/>
      <c r="M73" s="435" t="n"/>
    </row>
    <row r="74">
      <c r="A74" s="435" t="n"/>
      <c r="B74" s="435" t="n"/>
      <c r="C74" s="435" t="n"/>
      <c r="D74" s="435" t="n"/>
      <c r="E74" s="435" t="n"/>
      <c r="F74" s="435" t="n"/>
      <c r="G74" s="435" t="n"/>
      <c r="H74" s="435" t="n"/>
      <c r="I74" s="435" t="n"/>
      <c r="J74" s="435" t="n"/>
      <c r="K74" s="435" t="n"/>
      <c r="L74" s="435" t="n"/>
      <c r="M74" s="435" t="n"/>
    </row>
    <row r="75">
      <c r="A75" s="435" t="n"/>
      <c r="B75" s="435" t="n"/>
      <c r="C75" s="435" t="n"/>
      <c r="D75" s="435" t="n"/>
      <c r="E75" s="435" t="n"/>
      <c r="F75" s="435" t="n"/>
      <c r="G75" s="435" t="n"/>
      <c r="H75" s="435" t="n"/>
      <c r="I75" s="435" t="n"/>
      <c r="J75" s="435" t="n"/>
      <c r="K75" s="435" t="n"/>
      <c r="L75" s="435" t="n"/>
      <c r="M75" s="435" t="n"/>
    </row>
    <row r="76">
      <c r="A76" s="435" t="n"/>
      <c r="B76" s="435" t="n"/>
      <c r="C76" s="435" t="n"/>
      <c r="D76" s="435" t="n"/>
      <c r="E76" s="435" t="n"/>
      <c r="F76" s="435" t="n"/>
      <c r="G76" s="435" t="n"/>
      <c r="H76" s="435" t="n"/>
      <c r="I76" s="435" t="n"/>
      <c r="J76" s="435" t="n"/>
      <c r="K76" s="435" t="n"/>
      <c r="L76" s="435" t="n"/>
      <c r="M76" s="435" t="n"/>
    </row>
    <row r="77">
      <c r="A77" s="435" t="n"/>
      <c r="B77" s="435" t="n"/>
      <c r="C77" s="435" t="n"/>
      <c r="D77" s="435" t="n"/>
      <c r="E77" s="435" t="n"/>
      <c r="F77" s="435" t="n"/>
      <c r="G77" s="435" t="n"/>
      <c r="H77" s="435" t="n"/>
      <c r="I77" s="435" t="n"/>
      <c r="J77" s="435" t="n"/>
      <c r="K77" s="435" t="n"/>
      <c r="L77" s="435" t="n"/>
      <c r="M77" s="435" t="n"/>
    </row>
    <row r="78">
      <c r="A78" s="435" t="n"/>
      <c r="B78" s="435" t="n"/>
      <c r="C78" s="435" t="n"/>
      <c r="D78" s="435" t="n"/>
      <c r="E78" s="435" t="n"/>
      <c r="F78" s="435" t="n"/>
      <c r="G78" s="435" t="n"/>
      <c r="H78" s="435" t="n"/>
      <c r="I78" s="435" t="n"/>
      <c r="J78" s="435" t="n"/>
      <c r="K78" s="435" t="n"/>
      <c r="L78" s="435" t="n"/>
      <c r="M78" s="435" t="n"/>
    </row>
    <row r="79">
      <c r="A79" s="435" t="n"/>
      <c r="B79" s="435" t="n"/>
      <c r="C79" s="435" t="n"/>
      <c r="D79" s="435" t="n"/>
      <c r="E79" s="435" t="n"/>
      <c r="F79" s="435" t="n"/>
      <c r="G79" s="435" t="n"/>
      <c r="H79" s="435" t="n"/>
      <c r="I79" s="435" t="n"/>
      <c r="J79" s="435" t="n"/>
      <c r="K79" s="435" t="n"/>
      <c r="L79" s="435" t="n"/>
      <c r="M79" s="435" t="n"/>
    </row>
    <row r="80">
      <c r="A80" s="435" t="n"/>
      <c r="B80" s="435" t="n"/>
      <c r="C80" s="435" t="n"/>
      <c r="D80" s="435" t="n"/>
      <c r="E80" s="435" t="n"/>
      <c r="F80" s="435" t="n"/>
      <c r="G80" s="435" t="n"/>
      <c r="H80" s="435" t="n"/>
      <c r="I80" s="435" t="n"/>
      <c r="J80" s="435" t="n"/>
      <c r="K80" s="435" t="n"/>
      <c r="L80" s="435" t="n"/>
      <c r="M80" s="435" t="n"/>
    </row>
    <row r="81">
      <c r="A81" s="435" t="n"/>
      <c r="B81" s="435" t="n"/>
      <c r="C81" s="435" t="n"/>
      <c r="D81" s="435" t="n"/>
      <c r="E81" s="435" t="n"/>
      <c r="F81" s="435" t="n"/>
      <c r="G81" s="435" t="n"/>
      <c r="H81" s="435" t="n"/>
      <c r="I81" s="435" t="n"/>
      <c r="J81" s="435" t="n"/>
      <c r="K81" s="435" t="n"/>
      <c r="L81" s="435" t="n"/>
      <c r="M81" s="435" t="n"/>
    </row>
    <row r="82">
      <c r="A82" s="435" t="n"/>
      <c r="B82" s="435" t="n"/>
      <c r="C82" s="435" t="n"/>
      <c r="D82" s="435" t="n"/>
      <c r="E82" s="435" t="n"/>
      <c r="F82" s="435" t="n"/>
      <c r="G82" s="435" t="n"/>
      <c r="H82" s="435" t="n"/>
      <c r="I82" s="435" t="n"/>
      <c r="J82" s="435" t="n"/>
      <c r="K82" s="435" t="n"/>
      <c r="L82" s="435" t="n"/>
      <c r="M82" s="435" t="n"/>
    </row>
    <row r="83">
      <c r="A83" s="435" t="n"/>
      <c r="B83" s="435" t="n"/>
      <c r="C83" s="435" t="n"/>
      <c r="D83" s="435" t="n"/>
      <c r="E83" s="435" t="n"/>
      <c r="F83" s="435" t="n"/>
      <c r="G83" s="435" t="n"/>
      <c r="H83" s="435" t="n"/>
      <c r="I83" s="435" t="n"/>
      <c r="J83" s="435" t="n"/>
      <c r="K83" s="435" t="n"/>
      <c r="L83" s="435" t="n"/>
      <c r="M83" s="435" t="n"/>
    </row>
    <row r="84">
      <c r="A84" s="435" t="n"/>
      <c r="B84" s="435" t="n"/>
      <c r="C84" s="435" t="n"/>
      <c r="D84" s="435" t="n"/>
      <c r="E84" s="435" t="n"/>
      <c r="F84" s="435" t="n"/>
      <c r="G84" s="435" t="n"/>
      <c r="H84" s="435" t="n"/>
      <c r="I84" s="435" t="n"/>
      <c r="J84" s="435" t="n"/>
      <c r="K84" s="435" t="n"/>
      <c r="L84" s="435" t="n"/>
      <c r="M84" s="435" t="n"/>
    </row>
    <row r="85">
      <c r="A85" s="435" t="n"/>
      <c r="B85" s="435" t="n"/>
      <c r="C85" s="435" t="n"/>
      <c r="D85" s="435" t="n"/>
      <c r="E85" s="435" t="n"/>
      <c r="F85" s="435" t="n"/>
      <c r="G85" s="435" t="n"/>
      <c r="H85" s="435" t="n"/>
      <c r="I85" s="435" t="n"/>
      <c r="J85" s="435" t="n"/>
      <c r="K85" s="435" t="n"/>
      <c r="L85" s="435" t="n"/>
      <c r="M85" s="435" t="n"/>
    </row>
    <row r="86">
      <c r="A86" s="435" t="n"/>
      <c r="B86" s="435" t="n"/>
      <c r="C86" s="435" t="n"/>
      <c r="D86" s="435" t="n"/>
      <c r="E86" s="435" t="n"/>
      <c r="F86" s="435" t="n"/>
      <c r="G86" s="435" t="n"/>
      <c r="H86" s="435" t="n"/>
      <c r="I86" s="435" t="n"/>
      <c r="J86" s="435" t="n"/>
      <c r="K86" s="435" t="n"/>
      <c r="L86" s="435" t="n"/>
      <c r="M86" s="435" t="n"/>
    </row>
    <row r="87">
      <c r="A87" s="435" t="n"/>
      <c r="B87" s="435" t="n"/>
      <c r="C87" s="435" t="n"/>
      <c r="D87" s="435" t="n"/>
      <c r="E87" s="435" t="n"/>
      <c r="F87" s="435" t="n"/>
      <c r="G87" s="435" t="n"/>
      <c r="H87" s="435" t="n"/>
      <c r="I87" s="435" t="n"/>
      <c r="J87" s="435" t="n"/>
      <c r="K87" s="435" t="n"/>
      <c r="L87" s="435" t="n"/>
      <c r="M87" s="435" t="n"/>
    </row>
    <row r="88">
      <c r="A88" s="435" t="n"/>
      <c r="B88" s="435" t="n"/>
      <c r="C88" s="435" t="n"/>
      <c r="D88" s="435" t="n"/>
      <c r="E88" s="435" t="n"/>
      <c r="F88" s="435" t="n"/>
      <c r="G88" s="435" t="n"/>
      <c r="H88" s="435" t="n"/>
      <c r="I88" s="435" t="n"/>
      <c r="J88" s="435" t="n"/>
      <c r="K88" s="435" t="n"/>
      <c r="L88" s="435" t="n"/>
      <c r="M88" s="435" t="n"/>
    </row>
    <row r="89">
      <c r="A89" s="435" t="n"/>
      <c r="B89" s="435" t="n"/>
      <c r="C89" s="435" t="n"/>
      <c r="D89" s="435" t="n"/>
      <c r="E89" s="435" t="n"/>
      <c r="F89" s="435" t="n"/>
      <c r="G89" s="435" t="n"/>
      <c r="H89" s="435" t="n"/>
      <c r="I89" s="435" t="n"/>
      <c r="J89" s="435" t="n"/>
      <c r="K89" s="435" t="n"/>
      <c r="L89" s="435" t="n"/>
      <c r="M89" s="435" t="n"/>
    </row>
    <row r="90">
      <c r="A90" s="435" t="n"/>
      <c r="B90" s="435" t="n"/>
      <c r="C90" s="435" t="n"/>
      <c r="D90" s="435" t="n"/>
      <c r="E90" s="435" t="n"/>
      <c r="F90" s="435" t="n"/>
      <c r="G90" s="435" t="n"/>
      <c r="H90" s="435" t="n"/>
      <c r="I90" s="435" t="n"/>
      <c r="J90" s="435" t="n"/>
      <c r="K90" s="435" t="n"/>
      <c r="L90" s="435" t="n"/>
      <c r="M90" s="435" t="n"/>
    </row>
    <row r="91">
      <c r="A91" s="435" t="n"/>
      <c r="B91" s="435" t="n"/>
      <c r="C91" s="435" t="n"/>
      <c r="D91" s="435" t="n"/>
      <c r="E91" s="435" t="n"/>
      <c r="F91" s="435" t="n"/>
      <c r="G91" s="435" t="n"/>
      <c r="H91" s="435" t="n"/>
      <c r="I91" s="435" t="n"/>
      <c r="J91" s="435" t="n"/>
      <c r="K91" s="435" t="n"/>
      <c r="L91" s="435" t="n"/>
      <c r="M91" s="435" t="n"/>
    </row>
    <row r="92">
      <c r="A92" s="435" t="n"/>
      <c r="B92" s="435" t="n"/>
      <c r="C92" s="435" t="n"/>
      <c r="D92" s="435" t="n"/>
      <c r="E92" s="435" t="n"/>
      <c r="F92" s="435" t="n"/>
      <c r="G92" s="435" t="n"/>
      <c r="H92" s="435" t="n"/>
      <c r="I92" s="435" t="n"/>
      <c r="J92" s="435" t="n"/>
      <c r="K92" s="435" t="n"/>
      <c r="L92" s="435" t="n"/>
      <c r="M92" s="435" t="n"/>
    </row>
    <row r="93">
      <c r="A93" s="435" t="n"/>
      <c r="B93" s="435" t="n"/>
      <c r="C93" s="435" t="n"/>
      <c r="D93" s="435" t="n"/>
      <c r="E93" s="435" t="n"/>
      <c r="F93" s="435" t="n"/>
      <c r="G93" s="435" t="n"/>
      <c r="H93" s="435" t="n"/>
      <c r="I93" s="435" t="n"/>
      <c r="J93" s="435" t="n"/>
      <c r="K93" s="435" t="n"/>
      <c r="L93" s="435" t="n"/>
      <c r="M93" s="435" t="n"/>
    </row>
    <row r="94">
      <c r="A94" s="435" t="n"/>
      <c r="B94" s="435" t="n"/>
      <c r="C94" s="435" t="n"/>
      <c r="D94" s="435" t="n"/>
      <c r="E94" s="435" t="n"/>
      <c r="F94" s="435" t="n"/>
      <c r="G94" s="435" t="n"/>
      <c r="H94" s="435" t="n"/>
      <c r="I94" s="435" t="n"/>
      <c r="J94" s="435" t="n"/>
      <c r="K94" s="435" t="n"/>
      <c r="L94" s="435" t="n"/>
      <c r="M94" s="435" t="n"/>
    </row>
    <row r="95">
      <c r="A95" s="435" t="n"/>
      <c r="B95" s="435" t="n"/>
      <c r="C95" s="435" t="n"/>
      <c r="D95" s="435" t="n"/>
      <c r="E95" s="435" t="n"/>
      <c r="F95" s="435" t="n"/>
      <c r="G95" s="435" t="n"/>
      <c r="H95" s="435" t="n"/>
      <c r="I95" s="435" t="n"/>
      <c r="J95" s="435" t="n"/>
      <c r="K95" s="435" t="n"/>
      <c r="L95" s="435" t="n"/>
      <c r="M95" s="435" t="n"/>
    </row>
    <row r="96">
      <c r="A96" s="472" t="inlineStr">
        <is>
          <t>Operating Margin Trend</t>
        </is>
      </c>
      <c r="B96" s="435" t="n"/>
      <c r="C96" s="435" t="n"/>
      <c r="D96" s="435" t="n"/>
      <c r="E96" s="435" t="n"/>
      <c r="F96" s="435" t="n"/>
      <c r="G96" s="435" t="n"/>
      <c r="H96" s="435" t="n"/>
      <c r="I96" s="435" t="n"/>
      <c r="J96" s="435" t="n"/>
      <c r="K96" s="435" t="n"/>
      <c r="L96" s="435" t="n"/>
      <c r="M96" s="435" t="n"/>
    </row>
    <row r="97">
      <c r="A97" s="435" t="n"/>
      <c r="B97" s="435" t="n"/>
      <c r="C97" s="435" t="n"/>
      <c r="D97" s="435" t="n"/>
      <c r="E97" s="435" t="n"/>
      <c r="F97" s="435" t="n"/>
      <c r="G97" s="435" t="n"/>
      <c r="H97" s="435" t="n"/>
      <c r="I97" s="435" t="n"/>
      <c r="J97" s="435" t="n"/>
      <c r="K97" s="435" t="n"/>
      <c r="L97" s="435" t="n"/>
      <c r="M97" s="435" t="n"/>
    </row>
    <row r="98">
      <c r="A98" s="435" t="n"/>
      <c r="B98" s="435" t="n"/>
      <c r="C98" s="435" t="n"/>
      <c r="D98" s="435" t="n"/>
      <c r="E98" s="435" t="n"/>
      <c r="F98" s="435" t="n"/>
      <c r="G98" s="435" t="n"/>
      <c r="H98" s="435" t="n"/>
      <c r="I98" s="435" t="n"/>
      <c r="J98" s="435" t="n"/>
      <c r="K98" s="435" t="n"/>
      <c r="L98" s="435" t="n"/>
      <c r="M98" s="435" t="n"/>
    </row>
    <row r="99">
      <c r="A99" s="435" t="n"/>
      <c r="B99" s="435" t="n"/>
      <c r="C99" s="435" t="n"/>
      <c r="D99" s="435" t="n"/>
      <c r="E99" s="435" t="n"/>
      <c r="F99" s="435" t="n"/>
      <c r="G99" s="435" t="n"/>
      <c r="H99" s="435" t="n"/>
      <c r="I99" s="435" t="n"/>
      <c r="J99" s="435" t="n"/>
      <c r="K99" s="435" t="n"/>
      <c r="L99" s="435" t="n"/>
      <c r="M99" s="435" t="n"/>
    </row>
    <row r="100">
      <c r="A100" s="435" t="n"/>
      <c r="B100" s="435" t="n"/>
      <c r="C100" s="435" t="n"/>
      <c r="D100" s="435" t="n"/>
      <c r="E100" s="435" t="n"/>
      <c r="F100" s="435" t="n"/>
      <c r="G100" s="435" t="n"/>
      <c r="H100" s="435" t="n"/>
      <c r="I100" s="435" t="n"/>
      <c r="J100" s="435" t="n"/>
      <c r="K100" s="435" t="n"/>
      <c r="L100" s="435" t="n"/>
      <c r="M100" s="435" t="n"/>
    </row>
    <row r="101">
      <c r="A101" s="435" t="n"/>
      <c r="B101" s="435" t="n"/>
      <c r="C101" s="435" t="n"/>
      <c r="D101" s="435" t="n"/>
      <c r="E101" s="435" t="n"/>
      <c r="F101" s="435" t="n"/>
      <c r="G101" s="435" t="n"/>
      <c r="H101" s="435" t="n"/>
      <c r="I101" s="435" t="n"/>
      <c r="J101" s="435" t="n"/>
      <c r="K101" s="435" t="n"/>
      <c r="L101" s="435" t="n"/>
      <c r="M101" s="435" t="n"/>
    </row>
    <row r="102">
      <c r="A102" s="435" t="n"/>
      <c r="B102" s="435" t="n"/>
      <c r="C102" s="435" t="n"/>
      <c r="D102" s="435" t="n"/>
      <c r="E102" s="435" t="n"/>
      <c r="F102" s="435" t="n"/>
      <c r="G102" s="435" t="n"/>
      <c r="H102" s="435" t="n"/>
      <c r="I102" s="435" t="n"/>
      <c r="J102" s="435" t="n"/>
      <c r="K102" s="435" t="n"/>
      <c r="L102" s="435" t="n"/>
      <c r="M102" s="435" t="n"/>
    </row>
    <row r="103">
      <c r="A103" s="435" t="n"/>
      <c r="B103" s="435" t="n"/>
      <c r="C103" s="435" t="n"/>
      <c r="D103" s="435" t="n"/>
      <c r="E103" s="435" t="n"/>
      <c r="F103" s="435" t="n"/>
      <c r="G103" s="435" t="n"/>
      <c r="H103" s="435" t="n"/>
      <c r="I103" s="435" t="n"/>
      <c r="J103" s="435" t="n"/>
      <c r="K103" s="435" t="n"/>
      <c r="L103" s="435" t="n"/>
      <c r="M103" s="435" t="n"/>
    </row>
    <row r="104">
      <c r="A104" s="435" t="n"/>
      <c r="B104" s="435" t="n"/>
      <c r="C104" s="435" t="n"/>
      <c r="D104" s="435" t="n"/>
      <c r="E104" s="435" t="n"/>
      <c r="F104" s="435" t="n"/>
      <c r="G104" s="435" t="n"/>
      <c r="H104" s="435" t="n"/>
      <c r="I104" s="435" t="n"/>
      <c r="J104" s="435" t="n"/>
      <c r="K104" s="435" t="n"/>
      <c r="L104" s="435" t="n"/>
      <c r="M104" s="435" t="n"/>
    </row>
    <row r="105">
      <c r="A105" s="435" t="n"/>
      <c r="B105" s="435" t="n"/>
      <c r="C105" s="435" t="n"/>
      <c r="D105" s="435" t="n"/>
      <c r="E105" s="435" t="n"/>
      <c r="F105" s="435" t="n"/>
      <c r="G105" s="435" t="n"/>
      <c r="H105" s="435" t="n"/>
      <c r="I105" s="435" t="n"/>
      <c r="J105" s="435" t="n"/>
      <c r="K105" s="435" t="n"/>
      <c r="L105" s="435" t="n"/>
      <c r="M105" s="435" t="n"/>
    </row>
    <row r="106">
      <c r="A106" s="435" t="n"/>
      <c r="B106" s="435" t="n"/>
      <c r="C106" s="435" t="n"/>
      <c r="D106" s="435" t="n"/>
      <c r="E106" s="435" t="n"/>
      <c r="F106" s="435" t="n"/>
      <c r="G106" s="435" t="n"/>
      <c r="H106" s="435" t="n"/>
      <c r="I106" s="435" t="n"/>
      <c r="J106" s="435" t="n"/>
      <c r="K106" s="435" t="n"/>
      <c r="L106" s="435" t="n"/>
      <c r="M106" s="435" t="n"/>
    </row>
    <row r="107">
      <c r="A107" s="435" t="n"/>
      <c r="B107" s="435" t="n"/>
      <c r="C107" s="435" t="n"/>
      <c r="D107" s="435" t="n"/>
      <c r="E107" s="435" t="n"/>
      <c r="F107" s="435" t="n"/>
      <c r="G107" s="435" t="n"/>
      <c r="H107" s="435" t="n"/>
      <c r="I107" s="435" t="n"/>
      <c r="J107" s="435" t="n"/>
      <c r="K107" s="435" t="n"/>
      <c r="L107" s="435" t="n"/>
      <c r="M107" s="435" t="n"/>
    </row>
    <row r="108">
      <c r="A108" s="435" t="n"/>
      <c r="B108" s="435" t="n"/>
      <c r="C108" s="435" t="n"/>
      <c r="D108" s="435" t="n"/>
      <c r="E108" s="435" t="n"/>
      <c r="F108" s="435" t="n"/>
      <c r="G108" s="435" t="n"/>
      <c r="H108" s="435" t="n"/>
      <c r="I108" s="435" t="n"/>
      <c r="J108" s="435" t="n"/>
      <c r="K108" s="435" t="n"/>
      <c r="L108" s="435" t="n"/>
      <c r="M108" s="435" t="n"/>
    </row>
    <row r="109">
      <c r="A109" s="435" t="n"/>
      <c r="B109" s="435" t="n"/>
      <c r="C109" s="435" t="n"/>
      <c r="D109" s="435" t="n"/>
      <c r="E109" s="435" t="n"/>
      <c r="F109" s="435" t="n"/>
      <c r="G109" s="435" t="n"/>
      <c r="H109" s="435" t="n"/>
      <c r="I109" s="435" t="n"/>
      <c r="J109" s="435" t="n"/>
      <c r="K109" s="435" t="n"/>
      <c r="L109" s="435" t="n"/>
      <c r="M109" s="435" t="n"/>
    </row>
    <row r="110">
      <c r="A110" s="435" t="n"/>
      <c r="B110" s="435" t="n"/>
      <c r="C110" s="435" t="n"/>
      <c r="D110" s="435" t="n"/>
      <c r="E110" s="435" t="n"/>
      <c r="F110" s="435" t="n"/>
      <c r="G110" s="435" t="n"/>
      <c r="H110" s="435" t="n"/>
      <c r="I110" s="435" t="n"/>
      <c r="J110" s="435" t="n"/>
      <c r="K110" s="435" t="n"/>
      <c r="L110" s="435" t="n"/>
      <c r="M110" s="435" t="n"/>
    </row>
    <row r="111">
      <c r="A111" s="435" t="n"/>
      <c r="B111" s="435" t="n"/>
      <c r="C111" s="435" t="n"/>
      <c r="D111" s="435" t="n"/>
      <c r="E111" s="435" t="n"/>
      <c r="F111" s="435" t="n"/>
      <c r="G111" s="435" t="n"/>
      <c r="H111" s="435" t="n"/>
      <c r="I111" s="435" t="n"/>
      <c r="J111" s="435" t="n"/>
      <c r="K111" s="435" t="n"/>
      <c r="L111" s="435" t="n"/>
      <c r="M111" s="435" t="n"/>
    </row>
    <row r="112">
      <c r="A112" s="435" t="n"/>
      <c r="B112" s="435" t="n"/>
      <c r="C112" s="435" t="n"/>
      <c r="D112" s="435" t="n"/>
      <c r="E112" s="435" t="n"/>
      <c r="F112" s="435" t="n"/>
      <c r="G112" s="435" t="n"/>
      <c r="H112" s="435" t="n"/>
      <c r="I112" s="435" t="n"/>
      <c r="J112" s="435" t="n"/>
      <c r="K112" s="435" t="n"/>
      <c r="L112" s="435" t="n"/>
      <c r="M112" s="435" t="n"/>
    </row>
    <row r="113">
      <c r="A113" s="435" t="n"/>
      <c r="B113" s="435" t="n"/>
      <c r="C113" s="435" t="n"/>
      <c r="D113" s="435" t="n"/>
      <c r="E113" s="435" t="n"/>
      <c r="F113" s="435" t="n"/>
      <c r="G113" s="435" t="n"/>
      <c r="H113" s="435" t="n"/>
      <c r="I113" s="435" t="n"/>
      <c r="J113" s="435" t="n"/>
      <c r="K113" s="435" t="n"/>
      <c r="L113" s="435" t="n"/>
      <c r="M113" s="435" t="n"/>
    </row>
    <row r="114">
      <c r="A114" s="435" t="n"/>
      <c r="B114" s="435" t="n"/>
      <c r="C114" s="435" t="n"/>
      <c r="D114" s="435" t="n"/>
      <c r="E114" s="435" t="n"/>
      <c r="F114" s="435" t="n"/>
      <c r="G114" s="435" t="n"/>
      <c r="H114" s="435" t="n"/>
      <c r="I114" s="435" t="n"/>
      <c r="J114" s="435" t="n"/>
      <c r="K114" s="435" t="n"/>
      <c r="L114" s="435" t="n"/>
      <c r="M114" s="435" t="n"/>
    </row>
    <row r="115">
      <c r="A115" s="435" t="n"/>
      <c r="B115" s="435" t="n"/>
      <c r="C115" s="435" t="n"/>
      <c r="D115" s="435" t="n"/>
      <c r="E115" s="435" t="n"/>
      <c r="F115" s="435" t="n"/>
      <c r="G115" s="435" t="n"/>
      <c r="H115" s="435" t="n"/>
      <c r="I115" s="435" t="n"/>
      <c r="J115" s="435" t="n"/>
      <c r="K115" s="435" t="n"/>
      <c r="L115" s="435" t="n"/>
      <c r="M115" s="435" t="n"/>
    </row>
    <row r="116">
      <c r="A116" s="435" t="n"/>
      <c r="B116" s="435" t="n"/>
      <c r="C116" s="435" t="n"/>
      <c r="D116" s="435" t="n"/>
      <c r="E116" s="435" t="n"/>
      <c r="F116" s="435" t="n"/>
      <c r="G116" s="435" t="n"/>
      <c r="H116" s="435" t="n"/>
      <c r="I116" s="435" t="n"/>
      <c r="J116" s="435" t="n"/>
      <c r="K116" s="435" t="n"/>
      <c r="L116" s="435" t="n"/>
      <c r="M116" s="435" t="n"/>
    </row>
    <row r="117">
      <c r="A117" s="435" t="n"/>
      <c r="B117" s="435" t="n"/>
      <c r="C117" s="435" t="n"/>
      <c r="D117" s="435" t="n"/>
      <c r="E117" s="435" t="n"/>
      <c r="F117" s="435" t="n"/>
      <c r="G117" s="435" t="n"/>
      <c r="H117" s="435" t="n"/>
      <c r="I117" s="435" t="n"/>
      <c r="J117" s="435" t="n"/>
      <c r="K117" s="435" t="n"/>
      <c r="L117" s="435" t="n"/>
      <c r="M117" s="435" t="n"/>
    </row>
    <row r="118">
      <c r="A118" s="435" t="n"/>
      <c r="B118" s="435" t="n"/>
      <c r="C118" s="435" t="n"/>
      <c r="D118" s="435" t="n"/>
      <c r="E118" s="435" t="n"/>
      <c r="F118" s="435" t="n"/>
      <c r="G118" s="435" t="n"/>
      <c r="H118" s="435" t="n"/>
      <c r="I118" s="435" t="n"/>
      <c r="J118" s="435" t="n"/>
      <c r="K118" s="435" t="n"/>
      <c r="L118" s="435" t="n"/>
      <c r="M118" s="435" t="n"/>
    </row>
    <row r="119">
      <c r="A119" s="435" t="n"/>
      <c r="B119" s="435" t="n"/>
      <c r="C119" s="435" t="n"/>
      <c r="D119" s="435" t="n"/>
      <c r="E119" s="435" t="n"/>
      <c r="F119" s="435" t="n"/>
      <c r="G119" s="435" t="n"/>
      <c r="H119" s="435" t="n"/>
      <c r="I119" s="435" t="n"/>
      <c r="J119" s="435" t="n"/>
      <c r="K119" s="435" t="n"/>
      <c r="L119" s="435" t="n"/>
      <c r="M119" s="435" t="n"/>
    </row>
    <row r="120">
      <c r="A120" s="435" t="n"/>
      <c r="B120" s="435" t="n"/>
      <c r="C120" s="435" t="n"/>
      <c r="D120" s="435" t="n"/>
      <c r="E120" s="435" t="n"/>
      <c r="F120" s="435" t="n"/>
      <c r="G120" s="435" t="n"/>
      <c r="H120" s="435" t="n"/>
      <c r="I120" s="435" t="n"/>
      <c r="J120" s="435" t="n"/>
      <c r="K120" s="435" t="n"/>
      <c r="L120" s="435" t="n"/>
      <c r="M120" s="435" t="n"/>
    </row>
    <row r="121">
      <c r="A121" s="435" t="n"/>
      <c r="B121" s="435" t="n"/>
      <c r="C121" s="435" t="n"/>
      <c r="D121" s="435" t="n"/>
      <c r="E121" s="435" t="n"/>
      <c r="F121" s="435" t="n"/>
      <c r="G121" s="435" t="n"/>
      <c r="H121" s="435" t="n"/>
      <c r="I121" s="435" t="n"/>
      <c r="J121" s="435" t="n"/>
      <c r="K121" s="435" t="n"/>
      <c r="L121" s="435" t="n"/>
      <c r="M121" s="435" t="n"/>
    </row>
    <row r="122">
      <c r="A122" s="472" t="inlineStr">
        <is>
          <t>GAAP EPS</t>
        </is>
      </c>
      <c r="B122" s="435" t="n"/>
      <c r="C122" s="435" t="n"/>
      <c r="D122" s="435" t="n"/>
      <c r="E122" s="435" t="n"/>
      <c r="F122" s="435" t="n"/>
      <c r="G122" s="435" t="n"/>
      <c r="H122" s="435" t="n"/>
      <c r="I122" s="435" t="n"/>
      <c r="J122" s="435" t="n"/>
      <c r="K122" s="435" t="n"/>
      <c r="L122" s="435" t="n"/>
      <c r="M122" s="435" t="n"/>
    </row>
    <row r="123">
      <c r="A123" s="435" t="n"/>
      <c r="B123" s="435" t="n"/>
      <c r="C123" s="435" t="n"/>
      <c r="D123" s="435" t="n"/>
      <c r="E123" s="435" t="n"/>
      <c r="F123" s="435" t="n"/>
      <c r="G123" s="435" t="n"/>
      <c r="H123" s="435" t="n"/>
      <c r="I123" s="435" t="n"/>
      <c r="J123" s="435" t="n"/>
      <c r="K123" s="435" t="n"/>
      <c r="L123" s="435" t="n"/>
      <c r="M123" s="435" t="n"/>
    </row>
    <row r="124">
      <c r="A124" s="435" t="n"/>
      <c r="B124" s="435" t="n"/>
      <c r="C124" s="435" t="n"/>
      <c r="D124" s="435" t="n"/>
      <c r="E124" s="435" t="n"/>
      <c r="F124" s="435" t="n"/>
      <c r="G124" s="435" t="n"/>
      <c r="H124" s="435" t="n"/>
      <c r="I124" s="435" t="n"/>
      <c r="J124" s="435" t="n"/>
      <c r="K124" s="435" t="n"/>
      <c r="L124" s="435" t="n"/>
      <c r="M124" s="435" t="n"/>
    </row>
    <row r="125">
      <c r="A125" s="435" t="n"/>
      <c r="B125" s="435" t="n"/>
      <c r="C125" s="435" t="n"/>
      <c r="D125" s="435" t="n"/>
      <c r="E125" s="435" t="n"/>
      <c r="F125" s="435" t="n"/>
      <c r="G125" s="435" t="n"/>
      <c r="H125" s="435" t="n"/>
      <c r="I125" s="435" t="n"/>
      <c r="J125" s="435" t="n"/>
      <c r="K125" s="435" t="n"/>
      <c r="L125" s="435" t="n"/>
      <c r="M125" s="435" t="n"/>
    </row>
    <row r="126">
      <c r="A126" s="435" t="n"/>
      <c r="B126" s="435" t="n"/>
      <c r="C126" s="435" t="n"/>
      <c r="D126" s="435" t="n"/>
      <c r="E126" s="435" t="n"/>
      <c r="F126" s="435" t="n"/>
      <c r="G126" s="435" t="n"/>
      <c r="H126" s="435" t="n"/>
      <c r="I126" s="435" t="n"/>
      <c r="J126" s="435" t="n"/>
      <c r="K126" s="435" t="n"/>
      <c r="L126" s="435" t="n"/>
      <c r="M126" s="435" t="n"/>
    </row>
    <row r="127">
      <c r="A127" s="435" t="n"/>
      <c r="B127" s="435" t="n"/>
      <c r="C127" s="435" t="n"/>
      <c r="D127" s="435" t="n"/>
      <c r="E127" s="435" t="n"/>
      <c r="F127" s="435" t="n"/>
      <c r="G127" s="435" t="n"/>
      <c r="H127" s="435" t="n"/>
      <c r="I127" s="435" t="n"/>
      <c r="J127" s="435" t="n"/>
      <c r="K127" s="435" t="n"/>
      <c r="L127" s="435" t="n"/>
      <c r="M127" s="435" t="n"/>
    </row>
    <row r="128">
      <c r="A128" s="435" t="n"/>
      <c r="B128" s="435" t="n"/>
      <c r="C128" s="435" t="n"/>
      <c r="D128" s="435" t="n"/>
      <c r="E128" s="435" t="n"/>
      <c r="F128" s="435" t="n"/>
      <c r="G128" s="435" t="n"/>
      <c r="H128" s="435" t="n"/>
      <c r="I128" s="435" t="n"/>
      <c r="J128" s="435" t="n"/>
      <c r="K128" s="435" t="n"/>
      <c r="L128" s="435" t="n"/>
      <c r="M128" s="435" t="n"/>
    </row>
    <row r="129">
      <c r="A129" s="435" t="n"/>
      <c r="B129" s="435" t="n"/>
      <c r="C129" s="435" t="n"/>
      <c r="D129" s="435" t="n"/>
      <c r="E129" s="435" t="n"/>
      <c r="F129" s="435" t="n"/>
      <c r="G129" s="435" t="n"/>
      <c r="H129" s="435" t="n"/>
      <c r="I129" s="435" t="n"/>
      <c r="J129" s="435" t="n"/>
      <c r="K129" s="435" t="n"/>
      <c r="L129" s="435" t="n"/>
      <c r="M129" s="435" t="n"/>
    </row>
    <row r="130">
      <c r="A130" s="435" t="n"/>
      <c r="B130" s="435" t="n"/>
      <c r="C130" s="435" t="n"/>
      <c r="D130" s="435" t="n"/>
      <c r="E130" s="435" t="n"/>
      <c r="F130" s="435" t="n"/>
      <c r="G130" s="435" t="n"/>
      <c r="H130" s="435" t="n"/>
      <c r="I130" s="435" t="n"/>
      <c r="J130" s="435" t="n"/>
      <c r="K130" s="435" t="n"/>
      <c r="L130" s="435" t="n"/>
      <c r="M130" s="435" t="n"/>
    </row>
    <row r="131">
      <c r="A131" s="435" t="n"/>
      <c r="B131" s="435" t="n"/>
      <c r="C131" s="435" t="n"/>
      <c r="D131" s="435" t="n"/>
      <c r="E131" s="435" t="n"/>
      <c r="F131" s="435" t="n"/>
      <c r="G131" s="435" t="n"/>
      <c r="H131" s="435" t="n"/>
      <c r="I131" s="435" t="n"/>
      <c r="J131" s="435" t="n"/>
      <c r="K131" s="435" t="n"/>
      <c r="L131" s="435" t="n"/>
      <c r="M131" s="435" t="n"/>
    </row>
    <row r="132">
      <c r="A132" s="435" t="n"/>
      <c r="B132" s="435" t="n"/>
      <c r="C132" s="435" t="n"/>
      <c r="D132" s="435" t="n"/>
      <c r="E132" s="435" t="n"/>
      <c r="F132" s="435" t="n"/>
      <c r="G132" s="435" t="n"/>
      <c r="H132" s="435" t="n"/>
      <c r="I132" s="435" t="n"/>
      <c r="J132" s="435" t="n"/>
      <c r="K132" s="435" t="n"/>
      <c r="L132" s="435" t="n"/>
      <c r="M132" s="435" t="n"/>
    </row>
    <row r="133">
      <c r="A133" s="435" t="n"/>
      <c r="B133" s="435" t="n"/>
      <c r="C133" s="435" t="n"/>
      <c r="D133" s="435" t="n"/>
      <c r="E133" s="435" t="n"/>
      <c r="F133" s="435" t="n"/>
      <c r="G133" s="435" t="n"/>
      <c r="H133" s="435" t="n"/>
      <c r="I133" s="435" t="n"/>
      <c r="J133" s="435" t="n"/>
      <c r="K133" s="435" t="n"/>
      <c r="L133" s="435" t="n"/>
      <c r="M133" s="435" t="n"/>
    </row>
    <row r="134">
      <c r="A134" s="435" t="n"/>
      <c r="B134" s="435" t="n"/>
      <c r="C134" s="435" t="n"/>
      <c r="D134" s="435" t="n"/>
      <c r="E134" s="435" t="n"/>
      <c r="F134" s="435" t="n"/>
      <c r="G134" s="435" t="n"/>
      <c r="H134" s="435" t="n"/>
      <c r="I134" s="435" t="n"/>
      <c r="J134" s="435" t="n"/>
      <c r="K134" s="435" t="n"/>
      <c r="L134" s="435" t="n"/>
      <c r="M134" s="435" t="n"/>
    </row>
    <row r="135">
      <c r="A135" s="435" t="n"/>
      <c r="B135" s="435" t="n"/>
      <c r="C135" s="435" t="n"/>
      <c r="D135" s="435" t="n"/>
      <c r="E135" s="435" t="n"/>
      <c r="F135" s="435" t="n"/>
      <c r="G135" s="435" t="n"/>
      <c r="H135" s="435" t="n"/>
      <c r="I135" s="435" t="n"/>
      <c r="J135" s="435" t="n"/>
      <c r="K135" s="435" t="n"/>
      <c r="L135" s="435" t="n"/>
      <c r="M135" s="435" t="n"/>
    </row>
    <row r="136">
      <c r="A136" s="435" t="n"/>
      <c r="B136" s="435" t="n"/>
      <c r="C136" s="435" t="n"/>
      <c r="D136" s="435" t="n"/>
      <c r="E136" s="435" t="n"/>
      <c r="F136" s="435" t="n"/>
      <c r="G136" s="435" t="n"/>
      <c r="H136" s="435" t="n"/>
      <c r="I136" s="435" t="n"/>
      <c r="J136" s="435" t="n"/>
      <c r="K136" s="435" t="n"/>
      <c r="L136" s="435" t="n"/>
      <c r="M136" s="435" t="n"/>
    </row>
    <row r="137">
      <c r="A137" s="435" t="n"/>
      <c r="B137" s="435" t="n"/>
      <c r="C137" s="435" t="n"/>
      <c r="D137" s="435" t="n"/>
      <c r="E137" s="435" t="n"/>
      <c r="F137" s="435" t="n"/>
      <c r="G137" s="435" t="n"/>
      <c r="H137" s="435" t="n"/>
      <c r="I137" s="435" t="n"/>
      <c r="J137" s="435" t="n"/>
      <c r="K137" s="435" t="n"/>
      <c r="L137" s="435" t="n"/>
      <c r="M137" s="435" t="n"/>
    </row>
    <row r="138">
      <c r="A138" s="435" t="n"/>
      <c r="B138" s="435" t="n"/>
      <c r="C138" s="435" t="n"/>
      <c r="D138" s="435" t="n"/>
      <c r="E138" s="435" t="n"/>
      <c r="F138" s="435" t="n"/>
      <c r="G138" s="435" t="n"/>
      <c r="H138" s="435" t="n"/>
      <c r="I138" s="435" t="n"/>
      <c r="J138" s="435" t="n"/>
      <c r="K138" s="435" t="n"/>
      <c r="L138" s="435" t="n"/>
      <c r="M138" s="435" t="n"/>
    </row>
    <row r="139">
      <c r="A139" s="435" t="n"/>
      <c r="B139" s="435" t="n"/>
      <c r="C139" s="435" t="n"/>
      <c r="D139" s="435" t="n"/>
      <c r="E139" s="435" t="n"/>
      <c r="F139" s="435" t="n"/>
      <c r="G139" s="435" t="n"/>
      <c r="H139" s="435" t="n"/>
      <c r="I139" s="435" t="n"/>
      <c r="J139" s="435" t="n"/>
      <c r="K139" s="435" t="n"/>
      <c r="L139" s="435" t="n"/>
      <c r="M139" s="435" t="n"/>
    </row>
    <row r="140">
      <c r="A140" s="435" t="n"/>
      <c r="B140" s="435" t="n"/>
      <c r="C140" s="435" t="n"/>
      <c r="D140" s="435" t="n"/>
      <c r="E140" s="435" t="n"/>
      <c r="F140" s="435" t="n"/>
      <c r="G140" s="435" t="n"/>
      <c r="H140" s="435" t="n"/>
      <c r="I140" s="435" t="n"/>
      <c r="J140" s="435" t="n"/>
      <c r="K140" s="435" t="n"/>
      <c r="L140" s="435" t="n"/>
      <c r="M140" s="435" t="n"/>
    </row>
    <row r="141">
      <c r="A141" s="435" t="n"/>
      <c r="B141" s="435" t="n"/>
      <c r="C141" s="435" t="n"/>
      <c r="D141" s="435" t="n"/>
      <c r="E141" s="435" t="n"/>
      <c r="F141" s="435" t="n"/>
      <c r="G141" s="435" t="n"/>
      <c r="H141" s="435" t="n"/>
      <c r="I141" s="435" t="n"/>
      <c r="J141" s="435" t="n"/>
      <c r="K141" s="435" t="n"/>
      <c r="L141" s="435" t="n"/>
      <c r="M141" s="435" t="n"/>
    </row>
    <row r="142">
      <c r="A142" s="435" t="n"/>
      <c r="B142" s="435" t="n"/>
      <c r="C142" s="435" t="n"/>
      <c r="D142" s="435" t="n"/>
      <c r="E142" s="435" t="n"/>
      <c r="F142" s="435" t="n"/>
      <c r="G142" s="435" t="n"/>
      <c r="H142" s="435" t="n"/>
      <c r="I142" s="435" t="n"/>
      <c r="J142" s="435" t="n"/>
      <c r="K142" s="435" t="n"/>
      <c r="L142" s="435" t="n"/>
      <c r="M142" s="435" t="n"/>
    </row>
    <row r="143">
      <c r="A143" s="435" t="n"/>
      <c r="B143" s="435" t="n"/>
      <c r="C143" s="435" t="n"/>
      <c r="D143" s="435" t="n"/>
      <c r="E143" s="435" t="n"/>
      <c r="F143" s="435" t="n"/>
      <c r="G143" s="435" t="n"/>
      <c r="H143" s="435" t="n"/>
      <c r="I143" s="435" t="n"/>
      <c r="J143" s="435" t="n"/>
      <c r="K143" s="435" t="n"/>
      <c r="L143" s="435" t="n"/>
      <c r="M143" s="435" t="n"/>
    </row>
    <row r="144">
      <c r="A144" s="435" t="n"/>
      <c r="B144" s="435" t="n"/>
      <c r="C144" s="435" t="n"/>
      <c r="D144" s="435" t="n"/>
      <c r="E144" s="435" t="n"/>
      <c r="F144" s="435" t="n"/>
      <c r="G144" s="435" t="n"/>
      <c r="H144" s="435" t="n"/>
      <c r="I144" s="435" t="n"/>
      <c r="J144" s="435" t="n"/>
      <c r="K144" s="435" t="n"/>
      <c r="L144" s="435" t="n"/>
      <c r="M144" s="435" t="n"/>
    </row>
    <row r="145">
      <c r="A145" s="435" t="n"/>
      <c r="B145" s="435" t="n"/>
      <c r="C145" s="435" t="n"/>
      <c r="D145" s="435" t="n"/>
      <c r="E145" s="435" t="n"/>
      <c r="F145" s="435" t="n"/>
      <c r="G145" s="435" t="n"/>
      <c r="H145" s="435" t="n"/>
      <c r="I145" s="435" t="n"/>
      <c r="J145" s="435" t="n"/>
      <c r="K145" s="435" t="n"/>
      <c r="L145" s="435" t="n"/>
      <c r="M145" s="435" t="n"/>
    </row>
    <row r="146">
      <c r="A146" s="435" t="n"/>
      <c r="B146" s="435" t="n"/>
      <c r="C146" s="435" t="n"/>
      <c r="D146" s="435" t="n"/>
      <c r="E146" s="435" t="n"/>
      <c r="F146" s="435" t="n"/>
      <c r="G146" s="435" t="n"/>
      <c r="H146" s="435" t="n"/>
      <c r="I146" s="435" t="n"/>
      <c r="J146" s="435" t="n"/>
      <c r="K146" s="435" t="n"/>
      <c r="L146" s="435" t="n"/>
      <c r="M146" s="435" t="n"/>
    </row>
    <row r="147">
      <c r="A147" s="435" t="n"/>
      <c r="B147" s="435" t="n"/>
      <c r="C147" s="435" t="n"/>
      <c r="D147" s="435" t="n"/>
      <c r="E147" s="435" t="n"/>
      <c r="F147" s="435" t="n"/>
      <c r="G147" s="435" t="n"/>
      <c r="H147" s="435" t="n"/>
      <c r="I147" s="435" t="n"/>
      <c r="J147" s="435" t="n"/>
      <c r="K147" s="435" t="n"/>
      <c r="L147" s="435" t="n"/>
      <c r="M147" s="435" t="n"/>
    </row>
    <row r="148">
      <c r="A148" s="472" t="inlineStr">
        <is>
          <t>Free Cash Flow vs. Net Income</t>
        </is>
      </c>
      <c r="B148" s="435" t="n"/>
      <c r="C148" s="435" t="n"/>
      <c r="D148" s="435" t="n"/>
      <c r="E148" s="435" t="n"/>
      <c r="F148" s="435" t="n"/>
      <c r="G148" s="435" t="n"/>
      <c r="H148" s="435" t="n"/>
      <c r="I148" s="435" t="n"/>
      <c r="J148" s="435" t="n"/>
      <c r="K148" s="435" t="n"/>
      <c r="L148" s="435" t="n"/>
      <c r="M148" s="435" t="n"/>
    </row>
    <row r="149">
      <c r="A149" s="435" t="n"/>
      <c r="B149" s="435" t="n"/>
      <c r="C149" s="435" t="n"/>
      <c r="D149" s="435" t="n"/>
      <c r="E149" s="435" t="n"/>
      <c r="F149" s="435" t="n"/>
      <c r="G149" s="435" t="n"/>
      <c r="H149" s="435" t="n"/>
      <c r="I149" s="435" t="n"/>
      <c r="J149" s="435" t="n"/>
      <c r="K149" s="435" t="n"/>
      <c r="L149" s="435" t="n"/>
      <c r="M149" s="435" t="n"/>
    </row>
    <row r="150">
      <c r="A150" s="435" t="n"/>
      <c r="B150" s="435" t="n"/>
      <c r="C150" s="435" t="n"/>
      <c r="D150" s="435" t="n"/>
      <c r="E150" s="435" t="n"/>
      <c r="F150" s="435" t="n"/>
      <c r="G150" s="435" t="n"/>
      <c r="H150" s="435" t="n"/>
      <c r="I150" s="435" t="n"/>
      <c r="J150" s="435" t="n"/>
      <c r="K150" s="435" t="n"/>
      <c r="L150" s="435" t="n"/>
      <c r="M150" s="435" t="n"/>
    </row>
    <row r="151">
      <c r="A151" s="435" t="n"/>
      <c r="B151" s="435" t="n"/>
      <c r="C151" s="435" t="n"/>
      <c r="D151" s="435" t="n"/>
      <c r="E151" s="435" t="n"/>
      <c r="F151" s="435" t="n"/>
      <c r="G151" s="435" t="n"/>
      <c r="H151" s="435" t="n"/>
      <c r="I151" s="435" t="n"/>
      <c r="J151" s="435" t="n"/>
      <c r="K151" s="435" t="n"/>
      <c r="L151" s="435" t="n"/>
      <c r="M151" s="435" t="n"/>
    </row>
    <row r="152">
      <c r="A152" s="435" t="n"/>
      <c r="B152" s="435" t="n"/>
      <c r="C152" s="435" t="n"/>
      <c r="D152" s="435" t="n"/>
      <c r="E152" s="435" t="n"/>
      <c r="F152" s="435" t="n"/>
      <c r="G152" s="435" t="n"/>
      <c r="H152" s="435" t="n"/>
      <c r="I152" s="435" t="n"/>
      <c r="J152" s="435" t="n"/>
      <c r="K152" s="435" t="n"/>
      <c r="L152" s="435" t="n"/>
      <c r="M152" s="435" t="n"/>
    </row>
    <row r="153">
      <c r="A153" s="435" t="n"/>
      <c r="B153" s="435" t="n"/>
      <c r="C153" s="435" t="n"/>
      <c r="D153" s="435" t="n"/>
      <c r="E153" s="435" t="n"/>
      <c r="F153" s="435" t="n"/>
      <c r="G153" s="435" t="n"/>
      <c r="H153" s="435" t="n"/>
      <c r="I153" s="435" t="n"/>
      <c r="J153" s="435" t="n"/>
      <c r="K153" s="435" t="n"/>
      <c r="L153" s="435" t="n"/>
      <c r="M153" s="435" t="n"/>
    </row>
    <row r="154">
      <c r="A154" s="435" t="n"/>
      <c r="B154" s="435" t="n"/>
      <c r="C154" s="435" t="n"/>
      <c r="D154" s="435" t="n"/>
      <c r="E154" s="435" t="n"/>
      <c r="F154" s="435" t="n"/>
      <c r="G154" s="435" t="n"/>
      <c r="H154" s="435" t="n"/>
      <c r="I154" s="435" t="n"/>
      <c r="J154" s="435" t="n"/>
      <c r="K154" s="435" t="n"/>
      <c r="L154" s="435" t="n"/>
      <c r="M154" s="435" t="n"/>
    </row>
    <row r="155">
      <c r="A155" s="435" t="n"/>
      <c r="B155" s="435" t="n"/>
      <c r="C155" s="435" t="n"/>
      <c r="D155" s="435" t="n"/>
      <c r="E155" s="435" t="n"/>
      <c r="F155" s="435" t="n"/>
      <c r="G155" s="435" t="n"/>
      <c r="H155" s="435" t="n"/>
      <c r="I155" s="435" t="n"/>
      <c r="J155" s="435" t="n"/>
      <c r="K155" s="435" t="n"/>
      <c r="L155" s="435" t="n"/>
      <c r="M155" s="435" t="n"/>
    </row>
    <row r="156">
      <c r="A156" s="435" t="n"/>
      <c r="B156" s="435" t="n"/>
      <c r="C156" s="435" t="n"/>
      <c r="D156" s="435" t="n"/>
      <c r="E156" s="435" t="n"/>
      <c r="F156" s="435" t="n"/>
      <c r="G156" s="435" t="n"/>
      <c r="H156" s="435" t="n"/>
      <c r="I156" s="435" t="n"/>
      <c r="J156" s="435" t="n"/>
      <c r="K156" s="435" t="n"/>
      <c r="L156" s="435" t="n"/>
      <c r="M156" s="435" t="n"/>
    </row>
    <row r="157">
      <c r="A157" s="435" t="n"/>
      <c r="B157" s="435" t="n"/>
      <c r="C157" s="435" t="n"/>
      <c r="D157" s="435" t="n"/>
      <c r="E157" s="435" t="n"/>
      <c r="F157" s="435" t="n"/>
      <c r="G157" s="435" t="n"/>
      <c r="H157" s="435" t="n"/>
      <c r="I157" s="435" t="n"/>
      <c r="J157" s="435" t="n"/>
      <c r="K157" s="435" t="n"/>
      <c r="L157" s="435" t="n"/>
      <c r="M157" s="435" t="n"/>
    </row>
    <row r="158">
      <c r="A158" s="435" t="n"/>
      <c r="B158" s="435" t="n"/>
      <c r="C158" s="435" t="n"/>
      <c r="D158" s="435" t="n"/>
      <c r="E158" s="435" t="n"/>
      <c r="F158" s="435" t="n"/>
      <c r="G158" s="435" t="n"/>
      <c r="H158" s="435" t="n"/>
      <c r="I158" s="435" t="n"/>
      <c r="J158" s="435" t="n"/>
      <c r="K158" s="435" t="n"/>
      <c r="L158" s="435" t="n"/>
      <c r="M158" s="435" t="n"/>
    </row>
    <row r="159">
      <c r="A159" s="435" t="n"/>
      <c r="B159" s="435" t="n"/>
      <c r="C159" s="435" t="n"/>
      <c r="D159" s="435" t="n"/>
      <c r="E159" s="435" t="n"/>
      <c r="F159" s="435" t="n"/>
      <c r="G159" s="435" t="n"/>
      <c r="H159" s="435" t="n"/>
      <c r="I159" s="435" t="n"/>
      <c r="J159" s="435" t="n"/>
      <c r="K159" s="435" t="n"/>
      <c r="L159" s="435" t="n"/>
      <c r="M159" s="435" t="n"/>
    </row>
    <row r="160">
      <c r="A160" s="435" t="n"/>
      <c r="B160" s="435" t="n"/>
      <c r="C160" s="435" t="n"/>
      <c r="D160" s="435" t="n"/>
      <c r="E160" s="435" t="n"/>
      <c r="F160" s="435" t="n"/>
      <c r="G160" s="435" t="n"/>
      <c r="H160" s="435" t="n"/>
      <c r="I160" s="435" t="n"/>
      <c r="J160" s="435" t="n"/>
      <c r="K160" s="435" t="n"/>
      <c r="L160" s="435" t="n"/>
      <c r="M160" s="435" t="n"/>
    </row>
    <row r="161">
      <c r="A161" s="435" t="n"/>
      <c r="B161" s="435" t="n"/>
      <c r="C161" s="435" t="n"/>
      <c r="D161" s="435" t="n"/>
      <c r="E161" s="435" t="n"/>
      <c r="F161" s="435" t="n"/>
      <c r="G161" s="435" t="n"/>
      <c r="H161" s="435" t="n"/>
      <c r="I161" s="435" t="n"/>
      <c r="J161" s="435" t="n"/>
      <c r="K161" s="435" t="n"/>
      <c r="L161" s="435" t="n"/>
      <c r="M161" s="435" t="n"/>
    </row>
    <row r="162">
      <c r="A162" s="435" t="n"/>
      <c r="B162" s="435" t="n"/>
      <c r="C162" s="435" t="n"/>
      <c r="D162" s="435" t="n"/>
      <c r="E162" s="435" t="n"/>
      <c r="F162" s="435" t="n"/>
      <c r="G162" s="435" t="n"/>
      <c r="H162" s="435" t="n"/>
      <c r="I162" s="435" t="n"/>
      <c r="J162" s="435" t="n"/>
      <c r="K162" s="435" t="n"/>
      <c r="L162" s="435" t="n"/>
      <c r="M162" s="435" t="n"/>
    </row>
    <row r="163">
      <c r="A163" s="435" t="n"/>
      <c r="B163" s="435" t="n"/>
      <c r="C163" s="435" t="n"/>
      <c r="D163" s="435" t="n"/>
      <c r="E163" s="435" t="n"/>
      <c r="F163" s="435" t="n"/>
      <c r="G163" s="435" t="n"/>
      <c r="H163" s="435" t="n"/>
      <c r="I163" s="435" t="n"/>
      <c r="J163" s="435" t="n"/>
      <c r="K163" s="435" t="n"/>
      <c r="L163" s="435" t="n"/>
      <c r="M163" s="435" t="n"/>
    </row>
    <row r="164">
      <c r="A164" s="435" t="n"/>
      <c r="B164" s="435" t="n"/>
      <c r="C164" s="435" t="n"/>
      <c r="D164" s="435" t="n"/>
      <c r="E164" s="435" t="n"/>
      <c r="F164" s="435" t="n"/>
      <c r="G164" s="435" t="n"/>
      <c r="H164" s="435" t="n"/>
      <c r="I164" s="435" t="n"/>
      <c r="J164" s="435" t="n"/>
      <c r="K164" s="435" t="n"/>
      <c r="L164" s="435" t="n"/>
      <c r="M164" s="435" t="n"/>
    </row>
    <row r="165">
      <c r="A165" s="435" t="n"/>
      <c r="B165" s="435" t="n"/>
      <c r="C165" s="435" t="n"/>
      <c r="D165" s="435" t="n"/>
      <c r="E165" s="435" t="n"/>
      <c r="F165" s="435" t="n"/>
      <c r="G165" s="435" t="n"/>
      <c r="H165" s="435" t="n"/>
      <c r="I165" s="435" t="n"/>
      <c r="J165" s="435" t="n"/>
      <c r="K165" s="435" t="n"/>
      <c r="L165" s="435" t="n"/>
      <c r="M165" s="435" t="n"/>
    </row>
    <row r="166">
      <c r="A166" s="435" t="n"/>
      <c r="B166" s="435" t="n"/>
      <c r="C166" s="435" t="n"/>
      <c r="D166" s="435" t="n"/>
      <c r="E166" s="435" t="n"/>
      <c r="F166" s="435" t="n"/>
      <c r="G166" s="435" t="n"/>
      <c r="H166" s="435" t="n"/>
      <c r="I166" s="435" t="n"/>
      <c r="J166" s="435" t="n"/>
      <c r="K166" s="435" t="n"/>
      <c r="L166" s="435" t="n"/>
      <c r="M166" s="435" t="n"/>
    </row>
    <row r="167">
      <c r="A167" s="435" t="n"/>
      <c r="B167" s="435" t="n"/>
      <c r="C167" s="435" t="n"/>
      <c r="D167" s="435" t="n"/>
      <c r="E167" s="435" t="n"/>
      <c r="F167" s="435" t="n"/>
      <c r="G167" s="435" t="n"/>
      <c r="H167" s="435" t="n"/>
      <c r="I167" s="435" t="n"/>
      <c r="J167" s="435" t="n"/>
      <c r="K167" s="435" t="n"/>
      <c r="L167" s="435" t="n"/>
      <c r="M167" s="435" t="n"/>
    </row>
    <row r="168">
      <c r="A168" s="435" t="n"/>
      <c r="B168" s="435" t="n"/>
      <c r="C168" s="435" t="n"/>
      <c r="D168" s="435" t="n"/>
      <c r="E168" s="435" t="n"/>
      <c r="F168" s="435" t="n"/>
      <c r="G168" s="435" t="n"/>
      <c r="H168" s="435" t="n"/>
      <c r="I168" s="435" t="n"/>
      <c r="J168" s="435" t="n"/>
      <c r="K168" s="435" t="n"/>
      <c r="L168" s="435" t="n"/>
      <c r="M168" s="435" t="n"/>
    </row>
    <row r="169">
      <c r="A169" s="435" t="n"/>
      <c r="B169" s="435" t="n"/>
      <c r="C169" s="435" t="n"/>
      <c r="D169" s="435" t="n"/>
      <c r="E169" s="435" t="n"/>
      <c r="F169" s="435" t="n"/>
      <c r="G169" s="435" t="n"/>
      <c r="H169" s="435" t="n"/>
      <c r="I169" s="435" t="n"/>
      <c r="J169" s="435" t="n"/>
      <c r="K169" s="435" t="n"/>
      <c r="L169" s="435" t="n"/>
      <c r="M169" s="435" t="n"/>
    </row>
    <row r="170">
      <c r="A170" s="435" t="n"/>
      <c r="B170" s="435" t="n"/>
      <c r="C170" s="435" t="n"/>
      <c r="D170" s="435" t="n"/>
      <c r="E170" s="435" t="n"/>
      <c r="F170" s="435" t="n"/>
      <c r="G170" s="435" t="n"/>
      <c r="H170" s="435" t="n"/>
      <c r="I170" s="435" t="n"/>
      <c r="J170" s="435" t="n"/>
      <c r="K170" s="435" t="n"/>
      <c r="L170" s="435" t="n"/>
      <c r="M170" s="435" t="n"/>
    </row>
    <row r="171">
      <c r="A171" s="435" t="n"/>
      <c r="B171" s="435" t="n"/>
      <c r="C171" s="435" t="n"/>
      <c r="D171" s="435" t="n"/>
      <c r="E171" s="435" t="n"/>
      <c r="F171" s="435" t="n"/>
      <c r="G171" s="435" t="n"/>
      <c r="H171" s="435" t="n"/>
      <c r="I171" s="435" t="n"/>
      <c r="J171" s="435" t="n"/>
      <c r="K171" s="435" t="n"/>
      <c r="L171" s="435" t="n"/>
      <c r="M171" s="435" t="n"/>
    </row>
    <row r="172">
      <c r="A172" s="435" t="n"/>
      <c r="B172" s="435" t="n"/>
      <c r="C172" s="435" t="n"/>
      <c r="D172" s="435" t="n"/>
      <c r="E172" s="435" t="n"/>
      <c r="F172" s="435" t="n"/>
      <c r="G172" s="435" t="n"/>
      <c r="H172" s="435" t="n"/>
      <c r="I172" s="435" t="n"/>
      <c r="J172" s="435" t="n"/>
      <c r="K172" s="435" t="n"/>
      <c r="L172" s="435" t="n"/>
      <c r="M172" s="435" t="n"/>
    </row>
    <row r="173">
      <c r="A173" s="435" t="n"/>
      <c r="B173" s="435" t="n"/>
      <c r="C173" s="435" t="n"/>
      <c r="D173" s="435" t="n"/>
      <c r="E173" s="435" t="n"/>
      <c r="F173" s="435" t="n"/>
      <c r="G173" s="435" t="n"/>
      <c r="H173" s="435" t="n"/>
      <c r="I173" s="435" t="n"/>
      <c r="J173" s="435" t="n"/>
      <c r="K173" s="435" t="n"/>
      <c r="L173" s="435" t="n"/>
      <c r="M173" s="435" t="n"/>
    </row>
    <row r="174">
      <c r="A174" s="472" t="inlineStr">
        <is>
          <t>Capital Returns vs. FCF</t>
        </is>
      </c>
      <c r="B174" s="435" t="n"/>
      <c r="C174" s="435" t="n"/>
      <c r="D174" s="435" t="n"/>
      <c r="E174" s="435" t="n"/>
      <c r="F174" s="435" t="n"/>
      <c r="G174" s="435" t="n"/>
      <c r="H174" s="435" t="n"/>
      <c r="I174" s="435" t="n"/>
      <c r="J174" s="435" t="n"/>
      <c r="K174" s="435" t="n"/>
      <c r="L174" s="435" t="n"/>
      <c r="M174" s="435" t="n"/>
    </row>
    <row r="175">
      <c r="A175" s="435" t="n"/>
      <c r="B175" s="435" t="n"/>
      <c r="C175" s="435" t="n"/>
      <c r="D175" s="435" t="n"/>
      <c r="E175" s="435" t="n"/>
      <c r="F175" s="435" t="n"/>
      <c r="G175" s="435" t="n"/>
      <c r="H175" s="435" t="n"/>
      <c r="I175" s="435" t="n"/>
      <c r="J175" s="435" t="n"/>
      <c r="K175" s="435" t="n"/>
      <c r="L175" s="435" t="n"/>
      <c r="M175" s="435" t="n"/>
    </row>
    <row r="176">
      <c r="A176" s="435" t="n"/>
      <c r="B176" s="435" t="n"/>
      <c r="C176" s="435" t="n"/>
      <c r="D176" s="435" t="n"/>
      <c r="E176" s="435" t="n"/>
      <c r="F176" s="435" t="n"/>
      <c r="G176" s="435" t="n"/>
      <c r="H176" s="435" t="n"/>
      <c r="I176" s="435" t="n"/>
      <c r="J176" s="435" t="n"/>
      <c r="K176" s="435" t="n"/>
      <c r="L176" s="435" t="n"/>
      <c r="M176" s="435" t="n"/>
    </row>
    <row r="177">
      <c r="A177" s="435" t="n"/>
      <c r="B177" s="435" t="n"/>
      <c r="C177" s="435" t="n"/>
      <c r="D177" s="435" t="n"/>
      <c r="E177" s="435" t="n"/>
      <c r="F177" s="435" t="n"/>
      <c r="G177" s="435" t="n"/>
      <c r="H177" s="435" t="n"/>
      <c r="I177" s="435" t="n"/>
      <c r="J177" s="435" t="n"/>
      <c r="K177" s="435" t="n"/>
      <c r="L177" s="435" t="n"/>
      <c r="M177" s="435" t="n"/>
    </row>
    <row r="178">
      <c r="A178" s="435" t="n"/>
      <c r="B178" s="435" t="n"/>
      <c r="C178" s="435" t="n"/>
      <c r="D178" s="435" t="n"/>
      <c r="E178" s="435" t="n"/>
      <c r="F178" s="435" t="n"/>
      <c r="G178" s="435" t="n"/>
      <c r="H178" s="435" t="n"/>
      <c r="I178" s="435" t="n"/>
      <c r="J178" s="435" t="n"/>
      <c r="K178" s="435" t="n"/>
      <c r="L178" s="435" t="n"/>
      <c r="M178" s="435" t="n"/>
    </row>
    <row r="179">
      <c r="A179" s="435" t="n"/>
      <c r="B179" s="435" t="n"/>
      <c r="C179" s="435" t="n"/>
      <c r="D179" s="435" t="n"/>
      <c r="E179" s="435" t="n"/>
      <c r="F179" s="435" t="n"/>
      <c r="G179" s="435" t="n"/>
      <c r="H179" s="435" t="n"/>
      <c r="I179" s="435" t="n"/>
      <c r="J179" s="435" t="n"/>
      <c r="K179" s="435" t="n"/>
      <c r="L179" s="435" t="n"/>
      <c r="M179" s="435" t="n"/>
    </row>
    <row r="180">
      <c r="A180" s="435" t="n"/>
      <c r="B180" s="435" t="n"/>
      <c r="C180" s="435" t="n"/>
      <c r="D180" s="435" t="n"/>
      <c r="E180" s="435" t="n"/>
      <c r="F180" s="435" t="n"/>
      <c r="G180" s="435" t="n"/>
      <c r="H180" s="435" t="n"/>
      <c r="I180" s="435" t="n"/>
      <c r="J180" s="435" t="n"/>
      <c r="K180" s="435" t="n"/>
      <c r="L180" s="435" t="n"/>
      <c r="M180" s="435" t="n"/>
    </row>
    <row r="181">
      <c r="A181" s="435" t="n"/>
      <c r="B181" s="435" t="n"/>
      <c r="C181" s="435" t="n"/>
      <c r="D181" s="435" t="n"/>
      <c r="E181" s="435" t="n"/>
      <c r="F181" s="435" t="n"/>
      <c r="G181" s="435" t="n"/>
      <c r="H181" s="435" t="n"/>
      <c r="I181" s="435" t="n"/>
      <c r="J181" s="435" t="n"/>
      <c r="K181" s="435" t="n"/>
      <c r="L181" s="435" t="n"/>
      <c r="M181" s="435" t="n"/>
    </row>
    <row r="182">
      <c r="A182" s="435" t="n"/>
      <c r="B182" s="435" t="n"/>
      <c r="C182" s="435" t="n"/>
      <c r="D182" s="435" t="n"/>
      <c r="E182" s="435" t="n"/>
      <c r="F182" s="435" t="n"/>
      <c r="G182" s="435" t="n"/>
      <c r="H182" s="435" t="n"/>
      <c r="I182" s="435" t="n"/>
      <c r="J182" s="435" t="n"/>
      <c r="K182" s="435" t="n"/>
      <c r="L182" s="435" t="n"/>
      <c r="M182" s="435" t="n"/>
    </row>
    <row r="183">
      <c r="A183" s="435" t="n"/>
      <c r="B183" s="435" t="n"/>
      <c r="C183" s="435" t="n"/>
      <c r="D183" s="435" t="n"/>
      <c r="E183" s="435" t="n"/>
      <c r="F183" s="435" t="n"/>
      <c r="G183" s="435" t="n"/>
      <c r="H183" s="435" t="n"/>
      <c r="I183" s="435" t="n"/>
      <c r="J183" s="435" t="n"/>
      <c r="K183" s="435" t="n"/>
      <c r="L183" s="435" t="n"/>
      <c r="M183" s="435" t="n"/>
    </row>
    <row r="184">
      <c r="A184" s="435" t="n"/>
      <c r="B184" s="435" t="n"/>
      <c r="C184" s="435" t="n"/>
      <c r="D184" s="435" t="n"/>
      <c r="E184" s="435" t="n"/>
      <c r="F184" s="435" t="n"/>
      <c r="G184" s="435" t="n"/>
      <c r="H184" s="435" t="n"/>
      <c r="I184" s="435" t="n"/>
      <c r="J184" s="435" t="n"/>
      <c r="K184" s="435" t="n"/>
      <c r="L184" s="435" t="n"/>
      <c r="M184" s="435" t="n"/>
    </row>
    <row r="185">
      <c r="A185" s="435" t="n"/>
      <c r="B185" s="435" t="n"/>
      <c r="C185" s="435" t="n"/>
      <c r="D185" s="435" t="n"/>
      <c r="E185" s="435" t="n"/>
      <c r="F185" s="435" t="n"/>
      <c r="G185" s="435" t="n"/>
      <c r="H185" s="435" t="n"/>
      <c r="I185" s="435" t="n"/>
      <c r="J185" s="435" t="n"/>
      <c r="K185" s="435" t="n"/>
      <c r="L185" s="435" t="n"/>
      <c r="M185" s="435" t="n"/>
    </row>
    <row r="186">
      <c r="A186" s="435" t="n"/>
      <c r="B186" s="435" t="n"/>
      <c r="C186" s="435" t="n"/>
      <c r="D186" s="435" t="n"/>
      <c r="E186" s="435" t="n"/>
      <c r="F186" s="435" t="n"/>
      <c r="G186" s="435" t="n"/>
      <c r="H186" s="435" t="n"/>
      <c r="I186" s="435" t="n"/>
      <c r="J186" s="435" t="n"/>
      <c r="K186" s="435" t="n"/>
      <c r="L186" s="435" t="n"/>
      <c r="M186" s="435" t="n"/>
    </row>
    <row r="187">
      <c r="A187" s="435" t="n"/>
      <c r="B187" s="435" t="n"/>
      <c r="C187" s="435" t="n"/>
      <c r="D187" s="435" t="n"/>
      <c r="E187" s="435" t="n"/>
      <c r="F187" s="435" t="n"/>
      <c r="G187" s="435" t="n"/>
      <c r="H187" s="435" t="n"/>
      <c r="I187" s="435" t="n"/>
      <c r="J187" s="435" t="n"/>
      <c r="K187" s="435" t="n"/>
      <c r="L187" s="435" t="n"/>
      <c r="M187" s="435" t="n"/>
    </row>
    <row r="188">
      <c r="A188" s="435" t="n"/>
      <c r="B188" s="435" t="n"/>
      <c r="C188" s="435" t="n"/>
      <c r="D188" s="435" t="n"/>
      <c r="E188" s="435" t="n"/>
      <c r="F188" s="435" t="n"/>
      <c r="G188" s="435" t="n"/>
      <c r="H188" s="435" t="n"/>
      <c r="I188" s="435" t="n"/>
      <c r="J188" s="435" t="n"/>
      <c r="K188" s="435" t="n"/>
      <c r="L188" s="435" t="n"/>
      <c r="M188" s="435" t="n"/>
    </row>
    <row r="189">
      <c r="A189" s="435" t="n"/>
      <c r="B189" s="435" t="n"/>
      <c r="C189" s="435" t="n"/>
      <c r="D189" s="435" t="n"/>
      <c r="E189" s="435" t="n"/>
      <c r="F189" s="435" t="n"/>
      <c r="G189" s="435" t="n"/>
      <c r="H189" s="435" t="n"/>
      <c r="I189" s="435" t="n"/>
      <c r="J189" s="435" t="n"/>
      <c r="K189" s="435" t="n"/>
      <c r="L189" s="435" t="n"/>
      <c r="M189" s="435" t="n"/>
    </row>
    <row r="190">
      <c r="A190" s="435" t="n"/>
      <c r="B190" s="435" t="n"/>
      <c r="C190" s="435" t="n"/>
      <c r="D190" s="435" t="n"/>
      <c r="E190" s="435" t="n"/>
      <c r="F190" s="435" t="n"/>
      <c r="G190" s="435" t="n"/>
      <c r="H190" s="435" t="n"/>
      <c r="I190" s="435" t="n"/>
      <c r="J190" s="435" t="n"/>
      <c r="K190" s="435" t="n"/>
      <c r="L190" s="435" t="n"/>
      <c r="M190" s="435" t="n"/>
    </row>
    <row r="191">
      <c r="A191" s="435" t="n"/>
      <c r="B191" s="435" t="n"/>
      <c r="C191" s="435" t="n"/>
      <c r="D191" s="435" t="n"/>
      <c r="E191" s="435" t="n"/>
      <c r="F191" s="435" t="n"/>
      <c r="G191" s="435" t="n"/>
      <c r="H191" s="435" t="n"/>
      <c r="I191" s="435" t="n"/>
      <c r="J191" s="435" t="n"/>
      <c r="K191" s="435" t="n"/>
      <c r="L191" s="435" t="n"/>
      <c r="M191" s="435" t="n"/>
    </row>
    <row r="192">
      <c r="A192" s="435" t="n"/>
      <c r="B192" s="435" t="n"/>
      <c r="C192" s="435" t="n"/>
      <c r="D192" s="435" t="n"/>
      <c r="E192" s="435" t="n"/>
      <c r="F192" s="435" t="n"/>
      <c r="G192" s="435" t="n"/>
      <c r="H192" s="435" t="n"/>
      <c r="I192" s="435" t="n"/>
      <c r="J192" s="435" t="n"/>
      <c r="K192" s="435" t="n"/>
      <c r="L192" s="435" t="n"/>
      <c r="M192" s="435" t="n"/>
    </row>
    <row r="193">
      <c r="A193" s="435" t="n"/>
      <c r="B193" s="435" t="n"/>
      <c r="C193" s="435" t="n"/>
      <c r="D193" s="435" t="n"/>
      <c r="E193" s="435" t="n"/>
      <c r="F193" s="435" t="n"/>
      <c r="G193" s="435" t="n"/>
      <c r="H193" s="435" t="n"/>
      <c r="I193" s="435" t="n"/>
      <c r="J193" s="435" t="n"/>
      <c r="K193" s="435" t="n"/>
      <c r="L193" s="435" t="n"/>
      <c r="M193" s="435" t="n"/>
    </row>
    <row r="194">
      <c r="A194" s="435" t="n"/>
      <c r="B194" s="435" t="n"/>
      <c r="C194" s="435" t="n"/>
      <c r="D194" s="435" t="n"/>
      <c r="E194" s="435" t="n"/>
      <c r="F194" s="435" t="n"/>
      <c r="G194" s="435" t="n"/>
      <c r="H194" s="435" t="n"/>
      <c r="I194" s="435" t="n"/>
      <c r="J194" s="435" t="n"/>
      <c r="K194" s="435" t="n"/>
      <c r="L194" s="435" t="n"/>
      <c r="M194" s="435" t="n"/>
    </row>
    <row r="195">
      <c r="A195" s="435" t="n"/>
      <c r="B195" s="435" t="n"/>
      <c r="C195" s="435" t="n"/>
      <c r="D195" s="435" t="n"/>
      <c r="E195" s="435" t="n"/>
      <c r="F195" s="435" t="n"/>
      <c r="G195" s="435" t="n"/>
      <c r="H195" s="435" t="n"/>
      <c r="I195" s="435" t="n"/>
      <c r="J195" s="435" t="n"/>
      <c r="K195" s="435" t="n"/>
      <c r="L195" s="435" t="n"/>
      <c r="M195" s="435" t="n"/>
    </row>
    <row r="196">
      <c r="A196" s="435" t="n"/>
      <c r="B196" s="435" t="n"/>
      <c r="C196" s="435" t="n"/>
      <c r="D196" s="435" t="n"/>
      <c r="E196" s="435" t="n"/>
      <c r="F196" s="435" t="n"/>
      <c r="G196" s="435" t="n"/>
      <c r="H196" s="435" t="n"/>
      <c r="I196" s="435" t="n"/>
      <c r="J196" s="435" t="n"/>
      <c r="K196" s="435" t="n"/>
      <c r="L196" s="435" t="n"/>
      <c r="M196" s="435" t="n"/>
    </row>
    <row r="197">
      <c r="A197" s="435" t="n"/>
      <c r="B197" s="435" t="n"/>
      <c r="C197" s="435" t="n"/>
      <c r="D197" s="435" t="n"/>
      <c r="E197" s="435" t="n"/>
      <c r="F197" s="435" t="n"/>
      <c r="G197" s="435" t="n"/>
      <c r="H197" s="435" t="n"/>
      <c r="I197" s="435" t="n"/>
      <c r="J197" s="435" t="n"/>
      <c r="K197" s="435" t="n"/>
      <c r="L197" s="435" t="n"/>
      <c r="M197" s="435" t="n"/>
    </row>
    <row r="198">
      <c r="A198" s="435" t="n"/>
      <c r="B198" s="435" t="n"/>
      <c r="C198" s="435" t="n"/>
      <c r="D198" s="435" t="n"/>
      <c r="E198" s="435" t="n"/>
      <c r="F198" s="435" t="n"/>
      <c r="G198" s="435" t="n"/>
      <c r="H198" s="435" t="n"/>
      <c r="I198" s="435" t="n"/>
      <c r="J198" s="435" t="n"/>
      <c r="K198" s="435" t="n"/>
      <c r="L198" s="435" t="n"/>
      <c r="M198" s="435" t="n"/>
    </row>
    <row r="199">
      <c r="A199" s="435" t="n"/>
      <c r="B199" s="435" t="n"/>
      <c r="C199" s="435" t="n"/>
      <c r="D199" s="435" t="n"/>
      <c r="E199" s="435" t="n"/>
      <c r="F199" s="435" t="n"/>
      <c r="G199" s="435" t="n"/>
      <c r="H199" s="435" t="n"/>
      <c r="I199" s="435" t="n"/>
      <c r="J199" s="435" t="n"/>
      <c r="K199" s="435" t="n"/>
      <c r="L199" s="435" t="n"/>
      <c r="M199" s="435" t="n"/>
    </row>
    <row r="200">
      <c r="A200" s="472" t="inlineStr">
        <is>
          <t>Debt &amp; Leverage Trajectory</t>
        </is>
      </c>
      <c r="B200" s="435" t="n"/>
      <c r="C200" s="435" t="n"/>
      <c r="D200" s="435" t="n"/>
      <c r="E200" s="435" t="n"/>
      <c r="F200" s="435" t="n"/>
      <c r="G200" s="435" t="n"/>
      <c r="H200" s="435" t="n"/>
      <c r="I200" s="435" t="n"/>
      <c r="J200" s="435" t="n"/>
      <c r="K200" s="435" t="n"/>
      <c r="L200" s="435" t="n"/>
      <c r="M200" s="435" t="n"/>
    </row>
    <row r="201">
      <c r="A201" s="435" t="n"/>
      <c r="B201" s="435" t="n"/>
      <c r="C201" s="435" t="n"/>
      <c r="D201" s="435" t="n"/>
      <c r="E201" s="435" t="n"/>
      <c r="F201" s="435" t="n"/>
      <c r="G201" s="435" t="n"/>
      <c r="H201" s="435" t="n"/>
      <c r="I201" s="435" t="n"/>
      <c r="J201" s="435" t="n"/>
      <c r="K201" s="435" t="n"/>
      <c r="L201" s="435" t="n"/>
      <c r="M201" s="435" t="n"/>
    </row>
    <row r="202">
      <c r="A202" s="435" t="n"/>
      <c r="B202" s="435" t="n"/>
      <c r="C202" s="435" t="n"/>
      <c r="D202" s="435" t="n"/>
      <c r="E202" s="435" t="n"/>
      <c r="F202" s="435" t="n"/>
      <c r="G202" s="435" t="n"/>
      <c r="H202" s="435" t="n"/>
      <c r="I202" s="435" t="n"/>
      <c r="J202" s="435" t="n"/>
      <c r="K202" s="435" t="n"/>
      <c r="L202" s="435" t="n"/>
      <c r="M202" s="435" t="n"/>
    </row>
    <row r="203">
      <c r="A203" s="435" t="n"/>
      <c r="B203" s="435" t="n"/>
      <c r="C203" s="435" t="n"/>
      <c r="D203" s="435" t="n"/>
      <c r="E203" s="435" t="n"/>
      <c r="F203" s="435" t="n"/>
      <c r="G203" s="435" t="n"/>
      <c r="H203" s="435" t="n"/>
      <c r="I203" s="435" t="n"/>
      <c r="J203" s="435" t="n"/>
      <c r="K203" s="435" t="n"/>
      <c r="L203" s="435" t="n"/>
      <c r="M203" s="435" t="n"/>
    </row>
    <row r="204">
      <c r="A204" s="435" t="n"/>
      <c r="B204" s="435" t="n"/>
      <c r="C204" s="435" t="n"/>
      <c r="D204" s="435" t="n"/>
      <c r="E204" s="435" t="n"/>
      <c r="F204" s="435" t="n"/>
      <c r="G204" s="435" t="n"/>
      <c r="H204" s="435" t="n"/>
      <c r="I204" s="435" t="n"/>
      <c r="J204" s="435" t="n"/>
      <c r="K204" s="435" t="n"/>
      <c r="L204" s="435" t="n"/>
      <c r="M204" s="435" t="n"/>
    </row>
    <row r="205">
      <c r="A205" s="435" t="n"/>
      <c r="B205" s="435" t="n"/>
      <c r="C205" s="435" t="n"/>
      <c r="D205" s="435" t="n"/>
      <c r="E205" s="435" t="n"/>
      <c r="F205" s="435" t="n"/>
      <c r="G205" s="435" t="n"/>
      <c r="H205" s="435" t="n"/>
      <c r="I205" s="435" t="n"/>
      <c r="J205" s="435" t="n"/>
      <c r="K205" s="435" t="n"/>
      <c r="L205" s="435" t="n"/>
      <c r="M205" s="435" t="n"/>
    </row>
    <row r="206">
      <c r="A206" s="435" t="n"/>
      <c r="B206" s="435" t="n"/>
      <c r="C206" s="435" t="n"/>
      <c r="D206" s="435" t="n"/>
      <c r="E206" s="435" t="n"/>
      <c r="F206" s="435" t="n"/>
      <c r="G206" s="435" t="n"/>
      <c r="H206" s="435" t="n"/>
      <c r="I206" s="435" t="n"/>
      <c r="J206" s="435" t="n"/>
      <c r="K206" s="435" t="n"/>
      <c r="L206" s="435" t="n"/>
      <c r="M206" s="435" t="n"/>
    </row>
    <row r="207">
      <c r="A207" s="435" t="n"/>
      <c r="B207" s="435" t="n"/>
      <c r="C207" s="435" t="n"/>
      <c r="D207" s="435" t="n"/>
      <c r="E207" s="435" t="n"/>
      <c r="F207" s="435" t="n"/>
      <c r="G207" s="435" t="n"/>
      <c r="H207" s="435" t="n"/>
      <c r="I207" s="435" t="n"/>
      <c r="J207" s="435" t="n"/>
      <c r="K207" s="435" t="n"/>
      <c r="L207" s="435" t="n"/>
      <c r="M207" s="435" t="n"/>
    </row>
    <row r="208">
      <c r="A208" s="435" t="n"/>
      <c r="B208" s="435" t="n"/>
      <c r="C208" s="435" t="n"/>
      <c r="D208" s="435" t="n"/>
      <c r="E208" s="435" t="n"/>
      <c r="F208" s="435" t="n"/>
      <c r="G208" s="435" t="n"/>
      <c r="H208" s="435" t="n"/>
      <c r="I208" s="435" t="n"/>
      <c r="J208" s="435" t="n"/>
      <c r="K208" s="435" t="n"/>
      <c r="L208" s="435" t="n"/>
      <c r="M208" s="435" t="n"/>
    </row>
    <row r="209">
      <c r="A209" s="435" t="n"/>
      <c r="B209" s="435" t="n"/>
      <c r="C209" s="435" t="n"/>
      <c r="D209" s="435" t="n"/>
      <c r="E209" s="435" t="n"/>
      <c r="F209" s="435" t="n"/>
      <c r="G209" s="435" t="n"/>
      <c r="H209" s="435" t="n"/>
      <c r="I209" s="435" t="n"/>
      <c r="J209" s="435" t="n"/>
      <c r="K209" s="435" t="n"/>
      <c r="L209" s="435" t="n"/>
      <c r="M209" s="435" t="n"/>
    </row>
    <row r="210">
      <c r="A210" s="435" t="n"/>
      <c r="B210" s="435" t="n"/>
      <c r="C210" s="435" t="n"/>
      <c r="D210" s="435" t="n"/>
      <c r="E210" s="435" t="n"/>
      <c r="F210" s="435" t="n"/>
      <c r="G210" s="435" t="n"/>
      <c r="H210" s="435" t="n"/>
      <c r="I210" s="435" t="n"/>
      <c r="J210" s="435" t="n"/>
      <c r="K210" s="435" t="n"/>
      <c r="L210" s="435" t="n"/>
      <c r="M210" s="435" t="n"/>
    </row>
    <row r="211">
      <c r="A211" s="435" t="n"/>
      <c r="B211" s="435" t="n"/>
      <c r="C211" s="435" t="n"/>
      <c r="D211" s="435" t="n"/>
      <c r="E211" s="435" t="n"/>
      <c r="F211" s="435" t="n"/>
      <c r="G211" s="435" t="n"/>
      <c r="H211" s="435" t="n"/>
      <c r="I211" s="435" t="n"/>
      <c r="J211" s="435" t="n"/>
      <c r="K211" s="435" t="n"/>
      <c r="L211" s="435" t="n"/>
      <c r="M211" s="435" t="n"/>
    </row>
    <row r="212">
      <c r="A212" s="435" t="n"/>
      <c r="B212" s="435" t="n"/>
      <c r="C212" s="435" t="n"/>
      <c r="D212" s="435" t="n"/>
      <c r="E212" s="435" t="n"/>
      <c r="F212" s="435" t="n"/>
      <c r="G212" s="435" t="n"/>
      <c r="H212" s="435" t="n"/>
      <c r="I212" s="435" t="n"/>
      <c r="J212" s="435" t="n"/>
      <c r="K212" s="435" t="n"/>
      <c r="L212" s="435" t="n"/>
      <c r="M212" s="435" t="n"/>
    </row>
    <row r="213">
      <c r="A213" s="435" t="n"/>
      <c r="B213" s="435" t="n"/>
      <c r="C213" s="435" t="n"/>
      <c r="D213" s="435" t="n"/>
      <c r="E213" s="435" t="n"/>
      <c r="F213" s="435" t="n"/>
      <c r="G213" s="435" t="n"/>
      <c r="H213" s="435" t="n"/>
      <c r="I213" s="435" t="n"/>
      <c r="J213" s="435" t="n"/>
      <c r="K213" s="435" t="n"/>
      <c r="L213" s="435" t="n"/>
      <c r="M213" s="435" t="n"/>
    </row>
    <row r="214">
      <c r="A214" s="435" t="n"/>
      <c r="B214" s="435" t="n"/>
      <c r="C214" s="435" t="n"/>
      <c r="D214" s="435" t="n"/>
      <c r="E214" s="435" t="n"/>
      <c r="F214" s="435" t="n"/>
      <c r="G214" s="435" t="n"/>
      <c r="H214" s="435" t="n"/>
      <c r="I214" s="435" t="n"/>
      <c r="J214" s="435" t="n"/>
      <c r="K214" s="435" t="n"/>
      <c r="L214" s="435" t="n"/>
      <c r="M214" s="435" t="n"/>
    </row>
    <row r="215">
      <c r="A215" s="435" t="n"/>
      <c r="B215" s="435" t="n"/>
      <c r="C215" s="435" t="n"/>
      <c r="D215" s="435" t="n"/>
      <c r="E215" s="435" t="n"/>
      <c r="F215" s="435" t="n"/>
      <c r="G215" s="435" t="n"/>
      <c r="H215" s="435" t="n"/>
      <c r="I215" s="435" t="n"/>
      <c r="J215" s="435" t="n"/>
      <c r="K215" s="435" t="n"/>
      <c r="L215" s="435" t="n"/>
      <c r="M215" s="435" t="n"/>
    </row>
    <row r="216">
      <c r="A216" s="435" t="n"/>
      <c r="B216" s="435" t="n"/>
      <c r="C216" s="435" t="n"/>
      <c r="D216" s="435" t="n"/>
      <c r="E216" s="435" t="n"/>
      <c r="F216" s="435" t="n"/>
      <c r="G216" s="435" t="n"/>
      <c r="H216" s="435" t="n"/>
      <c r="I216" s="435" t="n"/>
      <c r="J216" s="435" t="n"/>
      <c r="K216" s="435" t="n"/>
      <c r="L216" s="435" t="n"/>
      <c r="M216" s="435" t="n"/>
    </row>
    <row r="217">
      <c r="A217" s="435" t="n"/>
      <c r="B217" s="435" t="n"/>
      <c r="C217" s="435" t="n"/>
      <c r="D217" s="435" t="n"/>
      <c r="E217" s="435" t="n"/>
      <c r="F217" s="435" t="n"/>
      <c r="G217" s="435" t="n"/>
      <c r="H217" s="435" t="n"/>
      <c r="I217" s="435" t="n"/>
      <c r="J217" s="435" t="n"/>
      <c r="K217" s="435" t="n"/>
      <c r="L217" s="435" t="n"/>
      <c r="M217" s="435" t="n"/>
    </row>
    <row r="218">
      <c r="A218" s="435" t="n"/>
      <c r="B218" s="435" t="n"/>
      <c r="C218" s="435" t="n"/>
      <c r="D218" s="435" t="n"/>
      <c r="E218" s="435" t="n"/>
      <c r="F218" s="435" t="n"/>
      <c r="G218" s="435" t="n"/>
      <c r="H218" s="435" t="n"/>
      <c r="I218" s="435" t="n"/>
      <c r="J218" s="435" t="n"/>
      <c r="K218" s="435" t="n"/>
      <c r="L218" s="435" t="n"/>
      <c r="M218" s="435" t="n"/>
    </row>
    <row r="219">
      <c r="A219" s="435" t="n"/>
      <c r="B219" s="435" t="n"/>
      <c r="C219" s="435" t="n"/>
      <c r="D219" s="435" t="n"/>
      <c r="E219" s="435" t="n"/>
      <c r="F219" s="435" t="n"/>
      <c r="G219" s="435" t="n"/>
      <c r="H219" s="435" t="n"/>
      <c r="I219" s="435" t="n"/>
      <c r="J219" s="435" t="n"/>
      <c r="K219" s="435" t="n"/>
      <c r="L219" s="435" t="n"/>
      <c r="M219" s="435" t="n"/>
    </row>
    <row r="220">
      <c r="A220" s="435" t="n"/>
      <c r="B220" s="435" t="n"/>
      <c r="C220" s="435" t="n"/>
      <c r="D220" s="435" t="n"/>
      <c r="E220" s="435" t="n"/>
      <c r="F220" s="435" t="n"/>
      <c r="G220" s="435" t="n"/>
      <c r="H220" s="435" t="n"/>
      <c r="I220" s="435" t="n"/>
      <c r="J220" s="435" t="n"/>
      <c r="K220" s="435" t="n"/>
      <c r="L220" s="435" t="n"/>
      <c r="M220" s="435" t="n"/>
    </row>
    <row r="221">
      <c r="A221" s="435" t="n"/>
      <c r="B221" s="435" t="n"/>
      <c r="C221" s="435" t="n"/>
      <c r="D221" s="435" t="n"/>
      <c r="E221" s="435" t="n"/>
      <c r="F221" s="435" t="n"/>
      <c r="G221" s="435" t="n"/>
      <c r="H221" s="435" t="n"/>
      <c r="I221" s="435" t="n"/>
      <c r="J221" s="435" t="n"/>
      <c r="K221" s="435" t="n"/>
      <c r="L221" s="435" t="n"/>
      <c r="M221" s="435" t="n"/>
    </row>
    <row r="222">
      <c r="A222" s="435" t="n"/>
      <c r="B222" s="435" t="n"/>
      <c r="C222" s="435" t="n"/>
      <c r="D222" s="435" t="n"/>
      <c r="E222" s="435" t="n"/>
      <c r="F222" s="435" t="n"/>
      <c r="G222" s="435" t="n"/>
      <c r="H222" s="435" t="n"/>
      <c r="I222" s="435" t="n"/>
      <c r="J222" s="435" t="n"/>
      <c r="K222" s="435" t="n"/>
      <c r="L222" s="435" t="n"/>
      <c r="M222" s="435" t="n"/>
    </row>
    <row r="223">
      <c r="A223" s="435" t="n"/>
      <c r="B223" s="435" t="n"/>
      <c r="C223" s="435" t="n"/>
      <c r="D223" s="435" t="n"/>
      <c r="E223" s="435" t="n"/>
      <c r="F223" s="435" t="n"/>
      <c r="G223" s="435" t="n"/>
      <c r="H223" s="435" t="n"/>
      <c r="I223" s="435" t="n"/>
      <c r="J223" s="435" t="n"/>
      <c r="K223" s="435" t="n"/>
      <c r="L223" s="435" t="n"/>
      <c r="M223" s="435" t="n"/>
    </row>
    <row r="224">
      <c r="A224" s="435" t="n"/>
      <c r="B224" s="435" t="n"/>
      <c r="C224" s="435" t="n"/>
      <c r="D224" s="435" t="n"/>
      <c r="E224" s="435" t="n"/>
      <c r="F224" s="435" t="n"/>
      <c r="G224" s="435" t="n"/>
      <c r="H224" s="435" t="n"/>
      <c r="I224" s="435" t="n"/>
      <c r="J224" s="435" t="n"/>
      <c r="K224" s="435" t="n"/>
      <c r="L224" s="435" t="n"/>
      <c r="M224" s="435" t="n"/>
    </row>
    <row r="225">
      <c r="A225" s="435" t="n"/>
      <c r="B225" s="435" t="n"/>
      <c r="C225" s="435" t="n"/>
      <c r="D225" s="435" t="n"/>
      <c r="E225" s="435" t="n"/>
      <c r="F225" s="435" t="n"/>
      <c r="G225" s="435" t="n"/>
      <c r="H225" s="435" t="n"/>
      <c r="I225" s="435" t="n"/>
      <c r="J225" s="435" t="n"/>
      <c r="K225" s="435" t="n"/>
      <c r="L225" s="435" t="n"/>
      <c r="M225" s="435" t="n"/>
    </row>
    <row r="226">
      <c r="A226" s="435" t="n"/>
      <c r="B226" s="435" t="n"/>
      <c r="C226" s="435" t="n"/>
      <c r="D226" s="435" t="n"/>
      <c r="E226" s="435" t="n"/>
      <c r="F226" s="435" t="n"/>
      <c r="G226" s="435" t="n"/>
      <c r="H226" s="435" t="n"/>
      <c r="I226" s="435" t="n"/>
      <c r="J226" s="435" t="n"/>
      <c r="K226" s="435" t="n"/>
      <c r="L226" s="435" t="n"/>
      <c r="M226" s="435" t="n"/>
    </row>
    <row r="227">
      <c r="A227" s="469" t="inlineStr">
        <is>
          <t>Valuation</t>
        </is>
      </c>
      <c r="B227" s="470" t="n"/>
      <c r="C227" s="470" t="n"/>
      <c r="D227" s="470" t="n"/>
      <c r="E227" s="470" t="n"/>
      <c r="F227" s="470" t="n"/>
      <c r="G227" s="470" t="n"/>
      <c r="H227" s="470" t="n"/>
      <c r="I227" s="470" t="n"/>
      <c r="J227" s="470" t="n"/>
      <c r="K227" s="470" t="n"/>
      <c r="L227" s="470" t="n"/>
      <c r="M227" s="470" t="n"/>
    </row>
    <row r="228">
      <c r="A228" s="435" t="n"/>
      <c r="B228" s="435" t="n"/>
      <c r="C228" s="435" t="n"/>
      <c r="D228" s="435" t="n"/>
      <c r="E228" s="435" t="n"/>
      <c r="F228" s="435" t="n"/>
      <c r="G228" s="435" t="n"/>
      <c r="H228" s="435" t="n"/>
      <c r="I228" s="435" t="n"/>
      <c r="J228" s="435" t="n"/>
      <c r="K228" s="435" t="n"/>
      <c r="L228" s="435" t="n"/>
      <c r="M228" s="435" t="n"/>
    </row>
    <row r="229">
      <c r="A229" s="472" t="inlineStr">
        <is>
          <t>Valuation Range by Method</t>
        </is>
      </c>
      <c r="B229" s="435" t="n"/>
      <c r="C229" s="435" t="n"/>
      <c r="D229" s="435" t="n"/>
      <c r="E229" s="435" t="n"/>
      <c r="F229" s="435" t="n"/>
      <c r="G229" s="435" t="n"/>
      <c r="H229" s="435" t="n"/>
      <c r="I229" s="435" t="n"/>
      <c r="J229" s="435" t="n"/>
      <c r="K229" s="435" t="n"/>
      <c r="L229" s="435" t="n"/>
      <c r="M229" s="435" t="n"/>
    </row>
    <row r="230">
      <c r="A230" s="435" t="n"/>
      <c r="B230" s="435" t="n"/>
      <c r="C230" s="435" t="n"/>
      <c r="D230" s="435" t="n"/>
      <c r="E230" s="435" t="n"/>
      <c r="F230" s="435" t="n"/>
      <c r="G230" s="435" t="n"/>
      <c r="H230" s="435" t="n"/>
      <c r="I230" s="435" t="n"/>
      <c r="J230" s="435" t="n"/>
      <c r="K230" s="435" t="n"/>
      <c r="L230" s="435" t="n"/>
      <c r="M230" s="435" t="n"/>
    </row>
    <row r="231">
      <c r="A231" s="435" t="n"/>
      <c r="B231" s="435" t="n"/>
      <c r="C231" s="435" t="n"/>
      <c r="D231" s="435" t="n"/>
      <c r="E231" s="435" t="n"/>
      <c r="F231" s="435" t="n"/>
      <c r="G231" s="435" t="n"/>
      <c r="H231" s="435" t="n"/>
      <c r="I231" s="435" t="n"/>
      <c r="J231" s="435" t="n"/>
      <c r="K231" s="435" t="n"/>
      <c r="L231" s="435" t="n"/>
      <c r="M231" s="435" t="n"/>
    </row>
    <row r="232">
      <c r="A232" s="435" t="n"/>
      <c r="B232" s="435" t="n"/>
      <c r="C232" s="435" t="n"/>
      <c r="D232" s="435" t="n"/>
      <c r="E232" s="435" t="n"/>
      <c r="F232" s="435" t="n"/>
      <c r="G232" s="435" t="n"/>
      <c r="H232" s="435" t="n"/>
      <c r="I232" s="435" t="n"/>
      <c r="J232" s="435" t="n"/>
      <c r="K232" s="435" t="n"/>
      <c r="L232" s="435" t="n"/>
      <c r="M232" s="435" t="n"/>
    </row>
    <row r="233">
      <c r="A233" s="435" t="n"/>
      <c r="B233" s="435" t="n"/>
      <c r="C233" s="435" t="n"/>
      <c r="D233" s="435" t="n"/>
      <c r="E233" s="435" t="n"/>
      <c r="F233" s="435" t="n"/>
      <c r="G233" s="435" t="n"/>
      <c r="H233" s="435" t="n"/>
      <c r="I233" s="435" t="n"/>
      <c r="J233" s="435" t="n"/>
      <c r="K233" s="435" t="n"/>
      <c r="L233" s="435" t="n"/>
      <c r="M233" s="435" t="n"/>
    </row>
    <row r="234">
      <c r="A234" s="435" t="n"/>
      <c r="B234" s="435" t="n"/>
      <c r="C234" s="435" t="n"/>
      <c r="D234" s="435" t="n"/>
      <c r="E234" s="435" t="n"/>
      <c r="F234" s="435" t="n"/>
      <c r="G234" s="435" t="n"/>
      <c r="H234" s="435" t="n"/>
      <c r="I234" s="435" t="n"/>
      <c r="J234" s="435" t="n"/>
      <c r="K234" s="435" t="n"/>
      <c r="L234" s="435" t="n"/>
      <c r="M234" s="435" t="n"/>
    </row>
    <row r="235">
      <c r="A235" s="435" t="n"/>
      <c r="B235" s="435" t="n"/>
      <c r="C235" s="435" t="n"/>
      <c r="D235" s="435" t="n"/>
      <c r="E235" s="435" t="n"/>
      <c r="F235" s="435" t="n"/>
      <c r="G235" s="435" t="n"/>
      <c r="H235" s="435" t="n"/>
      <c r="I235" s="435" t="n"/>
      <c r="J235" s="435" t="n"/>
      <c r="K235" s="435" t="n"/>
      <c r="L235" s="435" t="n"/>
      <c r="M235" s="435" t="n"/>
    </row>
    <row r="236">
      <c r="A236" s="435" t="n"/>
      <c r="B236" s="435" t="n"/>
      <c r="C236" s="435" t="n"/>
      <c r="D236" s="435" t="n"/>
      <c r="E236" s="435" t="n"/>
      <c r="F236" s="435" t="n"/>
      <c r="G236" s="435" t="n"/>
      <c r="H236" s="435" t="n"/>
      <c r="I236" s="435" t="n"/>
      <c r="J236" s="435" t="n"/>
      <c r="K236" s="435" t="n"/>
      <c r="L236" s="435" t="n"/>
      <c r="M236" s="435" t="n"/>
    </row>
    <row r="237">
      <c r="A237" s="435" t="n"/>
      <c r="B237" s="435" t="n"/>
      <c r="C237" s="435" t="n"/>
      <c r="D237" s="435" t="n"/>
      <c r="E237" s="435" t="n"/>
      <c r="F237" s="435" t="n"/>
      <c r="G237" s="435" t="n"/>
      <c r="H237" s="435" t="n"/>
      <c r="I237" s="435" t="n"/>
      <c r="J237" s="435" t="n"/>
      <c r="K237" s="435" t="n"/>
      <c r="L237" s="435" t="n"/>
      <c r="M237" s="435" t="n"/>
    </row>
    <row r="238">
      <c r="A238" s="435" t="n"/>
      <c r="B238" s="435" t="n"/>
      <c r="C238" s="435" t="n"/>
      <c r="D238" s="435" t="n"/>
      <c r="E238" s="435" t="n"/>
      <c r="F238" s="435" t="n"/>
      <c r="G238" s="435" t="n"/>
      <c r="H238" s="435" t="n"/>
      <c r="I238" s="435" t="n"/>
      <c r="J238" s="435" t="n"/>
      <c r="K238" s="435" t="n"/>
      <c r="L238" s="435" t="n"/>
      <c r="M238" s="435" t="n"/>
    </row>
    <row r="239">
      <c r="A239" s="435" t="n"/>
      <c r="B239" s="435" t="n"/>
      <c r="C239" s="435" t="n"/>
      <c r="D239" s="435" t="n"/>
      <c r="E239" s="435" t="n"/>
      <c r="F239" s="435" t="n"/>
      <c r="G239" s="435" t="n"/>
      <c r="H239" s="435" t="n"/>
      <c r="I239" s="435" t="n"/>
      <c r="J239" s="435" t="n"/>
      <c r="K239" s="435" t="n"/>
      <c r="L239" s="435" t="n"/>
      <c r="M239" s="435" t="n"/>
    </row>
    <row r="240">
      <c r="A240" s="435" t="n"/>
      <c r="B240" s="435" t="n"/>
      <c r="C240" s="435" t="n"/>
      <c r="D240" s="435" t="n"/>
      <c r="E240" s="435" t="n"/>
      <c r="F240" s="435" t="n"/>
      <c r="G240" s="435" t="n"/>
      <c r="H240" s="435" t="n"/>
      <c r="I240" s="435" t="n"/>
      <c r="J240" s="435" t="n"/>
      <c r="K240" s="435" t="n"/>
      <c r="L240" s="435" t="n"/>
      <c r="M240" s="435" t="n"/>
    </row>
    <row r="241">
      <c r="A241" s="435" t="n"/>
      <c r="B241" s="435" t="n"/>
      <c r="C241" s="435" t="n"/>
      <c r="D241" s="435" t="n"/>
      <c r="E241" s="435" t="n"/>
      <c r="F241" s="435" t="n"/>
      <c r="G241" s="435" t="n"/>
      <c r="H241" s="435" t="n"/>
      <c r="I241" s="435" t="n"/>
      <c r="J241" s="435" t="n"/>
      <c r="K241" s="435" t="n"/>
      <c r="L241" s="435" t="n"/>
      <c r="M241" s="435" t="n"/>
    </row>
    <row r="242">
      <c r="A242" s="435" t="n"/>
      <c r="B242" s="435" t="n"/>
      <c r="C242" s="435" t="n"/>
      <c r="D242" s="435" t="n"/>
      <c r="E242" s="435" t="n"/>
      <c r="F242" s="435" t="n"/>
      <c r="G242" s="435" t="n"/>
      <c r="H242" s="435" t="n"/>
      <c r="I242" s="435" t="n"/>
      <c r="J242" s="435" t="n"/>
      <c r="K242" s="435" t="n"/>
      <c r="L242" s="435" t="n"/>
      <c r="M242" s="435" t="n"/>
    </row>
    <row r="243">
      <c r="A243" s="435" t="n"/>
      <c r="B243" s="435" t="n"/>
      <c r="C243" s="435" t="n"/>
      <c r="D243" s="435" t="n"/>
      <c r="E243" s="435" t="n"/>
      <c r="F243" s="435" t="n"/>
      <c r="G243" s="435" t="n"/>
      <c r="H243" s="435" t="n"/>
      <c r="I243" s="435" t="n"/>
      <c r="J243" s="435" t="n"/>
      <c r="K243" s="435" t="n"/>
      <c r="L243" s="435" t="n"/>
      <c r="M243" s="435" t="n"/>
    </row>
    <row r="244">
      <c r="A244" s="435" t="n"/>
      <c r="B244" s="435" t="n"/>
      <c r="C244" s="435" t="n"/>
      <c r="D244" s="435" t="n"/>
      <c r="E244" s="435" t="n"/>
      <c r="F244" s="435" t="n"/>
      <c r="G244" s="435" t="n"/>
      <c r="H244" s="435" t="n"/>
      <c r="I244" s="435" t="n"/>
      <c r="J244" s="435" t="n"/>
      <c r="K244" s="435" t="n"/>
      <c r="L244" s="435" t="n"/>
      <c r="M244" s="435" t="n"/>
    </row>
    <row r="245">
      <c r="A245" s="435" t="n"/>
      <c r="B245" s="435" t="n"/>
      <c r="C245" s="435" t="n"/>
      <c r="D245" s="435" t="n"/>
      <c r="E245" s="435" t="n"/>
      <c r="F245" s="435" t="n"/>
      <c r="G245" s="435" t="n"/>
      <c r="H245" s="435" t="n"/>
      <c r="I245" s="435" t="n"/>
      <c r="J245" s="435" t="n"/>
      <c r="K245" s="435" t="n"/>
      <c r="L245" s="435" t="n"/>
      <c r="M245" s="435" t="n"/>
    </row>
    <row r="246">
      <c r="A246" s="435" t="n"/>
      <c r="B246" s="435" t="n"/>
      <c r="C246" s="435" t="n"/>
      <c r="D246" s="435" t="n"/>
      <c r="E246" s="435" t="n"/>
      <c r="F246" s="435" t="n"/>
      <c r="G246" s="435" t="n"/>
      <c r="H246" s="435" t="n"/>
      <c r="I246" s="435" t="n"/>
      <c r="J246" s="435" t="n"/>
      <c r="K246" s="435" t="n"/>
      <c r="L246" s="435" t="n"/>
      <c r="M246" s="435" t="n"/>
    </row>
    <row r="247">
      <c r="A247" s="435" t="n"/>
      <c r="B247" s="435" t="n"/>
      <c r="C247" s="435" t="n"/>
      <c r="D247" s="435" t="n"/>
      <c r="E247" s="435" t="n"/>
      <c r="F247" s="435" t="n"/>
      <c r="G247" s="435" t="n"/>
      <c r="H247" s="435" t="n"/>
      <c r="I247" s="435" t="n"/>
      <c r="J247" s="435" t="n"/>
      <c r="K247" s="435" t="n"/>
      <c r="L247" s="435" t="n"/>
      <c r="M247" s="435" t="n"/>
    </row>
    <row r="248">
      <c r="A248" s="435" t="n"/>
      <c r="B248" s="435" t="n"/>
      <c r="C248" s="435" t="n"/>
      <c r="D248" s="435" t="n"/>
      <c r="E248" s="435" t="n"/>
      <c r="F248" s="435" t="n"/>
      <c r="G248" s="435" t="n"/>
      <c r="H248" s="435" t="n"/>
      <c r="I248" s="435" t="n"/>
      <c r="J248" s="435" t="n"/>
      <c r="K248" s="435" t="n"/>
      <c r="L248" s="435" t="n"/>
      <c r="M248" s="435" t="n"/>
    </row>
    <row r="249">
      <c r="A249" s="435" t="n"/>
      <c r="B249" s="435" t="n"/>
      <c r="C249" s="435" t="n"/>
      <c r="D249" s="435" t="n"/>
      <c r="E249" s="435" t="n"/>
      <c r="F249" s="435" t="n"/>
      <c r="G249" s="435" t="n"/>
      <c r="H249" s="435" t="n"/>
      <c r="I249" s="435" t="n"/>
      <c r="J249" s="435" t="n"/>
      <c r="K249" s="435" t="n"/>
      <c r="L249" s="435" t="n"/>
      <c r="M249" s="435" t="n"/>
    </row>
    <row r="250">
      <c r="A250" s="435" t="n"/>
      <c r="B250" s="435" t="n"/>
      <c r="C250" s="435" t="n"/>
      <c r="D250" s="435" t="n"/>
      <c r="E250" s="435" t="n"/>
      <c r="F250" s="435" t="n"/>
      <c r="G250" s="435" t="n"/>
      <c r="H250" s="435" t="n"/>
      <c r="I250" s="435" t="n"/>
      <c r="J250" s="435" t="n"/>
      <c r="K250" s="435" t="n"/>
      <c r="L250" s="435" t="n"/>
      <c r="M250" s="435" t="n"/>
    </row>
    <row r="251">
      <c r="A251" s="435" t="n"/>
      <c r="B251" s="435" t="n"/>
      <c r="C251" s="435" t="n"/>
      <c r="D251" s="435" t="n"/>
      <c r="E251" s="435" t="n"/>
      <c r="F251" s="435" t="n"/>
      <c r="G251" s="435" t="n"/>
      <c r="H251" s="435" t="n"/>
      <c r="I251" s="435" t="n"/>
      <c r="J251" s="435" t="n"/>
      <c r="K251" s="435" t="n"/>
      <c r="L251" s="435" t="n"/>
      <c r="M251" s="435" t="n"/>
    </row>
    <row r="252">
      <c r="A252" s="435" t="n"/>
      <c r="B252" s="435" t="n"/>
      <c r="C252" s="435" t="n"/>
      <c r="D252" s="435" t="n"/>
      <c r="E252" s="435" t="n"/>
      <c r="F252" s="435" t="n"/>
      <c r="G252" s="435" t="n"/>
      <c r="H252" s="435" t="n"/>
      <c r="I252" s="435" t="n"/>
      <c r="J252" s="435" t="n"/>
      <c r="K252" s="435" t="n"/>
      <c r="L252" s="435" t="n"/>
      <c r="M252" s="435" t="n"/>
    </row>
    <row r="253">
      <c r="A253" s="435" t="n"/>
      <c r="B253" s="435" t="n"/>
      <c r="C253" s="435" t="n"/>
      <c r="D253" s="435" t="n"/>
      <c r="E253" s="435" t="n"/>
      <c r="F253" s="435" t="n"/>
      <c r="G253" s="435" t="n"/>
      <c r="H253" s="435" t="n"/>
      <c r="I253" s="435" t="n"/>
      <c r="J253" s="435" t="n"/>
      <c r="K253" s="435" t="n"/>
      <c r="L253" s="435" t="n"/>
      <c r="M253" s="435" t="n"/>
    </row>
    <row r="254">
      <c r="A254" s="435" t="n"/>
      <c r="B254" s="435" t="n"/>
      <c r="C254" s="435" t="n"/>
      <c r="D254" s="435" t="n"/>
      <c r="E254" s="435" t="n"/>
      <c r="F254" s="435" t="n"/>
      <c r="G254" s="435" t="n"/>
      <c r="H254" s="435" t="n"/>
      <c r="I254" s="435" t="n"/>
      <c r="J254" s="435" t="n"/>
      <c r="K254" s="435" t="n"/>
      <c r="L254" s="435" t="n"/>
      <c r="M254" s="435" t="n"/>
    </row>
    <row r="255">
      <c r="A255" s="472" t="inlineStr">
        <is>
          <t>Valuation vs. Peers</t>
        </is>
      </c>
      <c r="B255" s="435" t="n"/>
      <c r="C255" s="435" t="n"/>
      <c r="D255" s="435" t="n"/>
      <c r="E255" s="435" t="n"/>
      <c r="F255" s="435" t="n"/>
      <c r="G255" s="435" t="n"/>
      <c r="H255" s="435" t="n"/>
      <c r="I255" s="435" t="n"/>
      <c r="J255" s="435" t="n"/>
      <c r="K255" s="435" t="n"/>
      <c r="L255" s="435" t="n"/>
      <c r="M255" s="435" t="n"/>
    </row>
    <row r="256">
      <c r="A256" s="435" t="n"/>
      <c r="B256" s="435" t="n"/>
      <c r="C256" s="435" t="n"/>
      <c r="D256" s="435" t="n"/>
      <c r="E256" s="435" t="n"/>
      <c r="F256" s="435" t="n"/>
      <c r="G256" s="435" t="n"/>
      <c r="H256" s="435" t="n"/>
      <c r="I256" s="435" t="n"/>
      <c r="J256" s="435" t="n"/>
      <c r="K256" s="435" t="n"/>
      <c r="L256" s="435" t="n"/>
      <c r="M256" s="435" t="n"/>
    </row>
    <row r="257">
      <c r="A257" s="435" t="n"/>
      <c r="B257" s="435" t="n"/>
      <c r="C257" s="435" t="n"/>
      <c r="D257" s="435" t="n"/>
      <c r="E257" s="435" t="n"/>
      <c r="F257" s="435" t="n"/>
      <c r="G257" s="435" t="n"/>
      <c r="H257" s="435" t="n"/>
      <c r="I257" s="435" t="n"/>
      <c r="J257" s="435" t="n"/>
      <c r="K257" s="435" t="n"/>
      <c r="L257" s="435" t="n"/>
      <c r="M257" s="435" t="n"/>
    </row>
    <row r="258">
      <c r="A258" s="435" t="n"/>
      <c r="B258" s="435" t="n"/>
      <c r="C258" s="435" t="n"/>
      <c r="D258" s="435" t="n"/>
      <c r="E258" s="435" t="n"/>
      <c r="F258" s="435" t="n"/>
      <c r="G258" s="435" t="n"/>
      <c r="H258" s="435" t="n"/>
      <c r="I258" s="435" t="n"/>
      <c r="J258" s="435" t="n"/>
      <c r="K258" s="435" t="n"/>
      <c r="L258" s="435" t="n"/>
      <c r="M258" s="435" t="n"/>
    </row>
    <row r="259">
      <c r="A259" s="435" t="n"/>
      <c r="B259" s="435" t="n"/>
      <c r="C259" s="435" t="n"/>
      <c r="D259" s="435" t="n"/>
      <c r="E259" s="435" t="n"/>
      <c r="F259" s="435" t="n"/>
      <c r="G259" s="435" t="n"/>
      <c r="H259" s="435" t="n"/>
      <c r="I259" s="435" t="n"/>
      <c r="J259" s="435" t="n"/>
      <c r="K259" s="435" t="n"/>
      <c r="L259" s="435" t="n"/>
      <c r="M259" s="435" t="n"/>
    </row>
    <row r="260">
      <c r="A260" s="435" t="n"/>
      <c r="B260" s="435" t="n"/>
      <c r="C260" s="435" t="n"/>
      <c r="D260" s="435" t="n"/>
      <c r="E260" s="435" t="n"/>
      <c r="F260" s="435" t="n"/>
      <c r="G260" s="435" t="n"/>
      <c r="H260" s="435" t="n"/>
      <c r="I260" s="435" t="n"/>
      <c r="J260" s="435" t="n"/>
      <c r="K260" s="435" t="n"/>
      <c r="L260" s="435" t="n"/>
      <c r="M260" s="435" t="n"/>
    </row>
    <row r="261">
      <c r="A261" s="435" t="n"/>
      <c r="B261" s="435" t="n"/>
      <c r="C261" s="435" t="n"/>
      <c r="D261" s="435" t="n"/>
      <c r="E261" s="435" t="n"/>
      <c r="F261" s="435" t="n"/>
      <c r="G261" s="435" t="n"/>
      <c r="H261" s="435" t="n"/>
      <c r="I261" s="435" t="n"/>
      <c r="J261" s="435" t="n"/>
      <c r="K261" s="435" t="n"/>
      <c r="L261" s="435" t="n"/>
      <c r="M261" s="435" t="n"/>
    </row>
    <row r="262">
      <c r="A262" s="435" t="n"/>
      <c r="B262" s="435" t="n"/>
      <c r="C262" s="435" t="n"/>
      <c r="D262" s="435" t="n"/>
      <c r="E262" s="435" t="n"/>
      <c r="F262" s="435" t="n"/>
      <c r="G262" s="435" t="n"/>
      <c r="H262" s="435" t="n"/>
      <c r="I262" s="435" t="n"/>
      <c r="J262" s="435" t="n"/>
      <c r="K262" s="435" t="n"/>
      <c r="L262" s="435" t="n"/>
      <c r="M262" s="435" t="n"/>
    </row>
    <row r="263">
      <c r="A263" s="435" t="n"/>
      <c r="B263" s="435" t="n"/>
      <c r="C263" s="435" t="n"/>
      <c r="D263" s="435" t="n"/>
      <c r="E263" s="435" t="n"/>
      <c r="F263" s="435" t="n"/>
      <c r="G263" s="435" t="n"/>
      <c r="H263" s="435" t="n"/>
      <c r="I263" s="435" t="n"/>
      <c r="J263" s="435" t="n"/>
      <c r="K263" s="435" t="n"/>
      <c r="L263" s="435" t="n"/>
      <c r="M263" s="435" t="n"/>
    </row>
    <row r="264">
      <c r="A264" s="435" t="n"/>
      <c r="B264" s="435" t="n"/>
      <c r="C264" s="435" t="n"/>
      <c r="D264" s="435" t="n"/>
      <c r="E264" s="435" t="n"/>
      <c r="F264" s="435" t="n"/>
      <c r="G264" s="435" t="n"/>
      <c r="H264" s="435" t="n"/>
      <c r="I264" s="435" t="n"/>
      <c r="J264" s="435" t="n"/>
      <c r="K264" s="435" t="n"/>
      <c r="L264" s="435" t="n"/>
      <c r="M264" s="435" t="n"/>
    </row>
    <row r="265">
      <c r="A265" s="435" t="n"/>
      <c r="B265" s="435" t="n"/>
      <c r="C265" s="435" t="n"/>
      <c r="D265" s="435" t="n"/>
      <c r="E265" s="435" t="n"/>
      <c r="F265" s="435" t="n"/>
      <c r="G265" s="435" t="n"/>
      <c r="H265" s="435" t="n"/>
      <c r="I265" s="435" t="n"/>
      <c r="J265" s="435" t="n"/>
      <c r="K265" s="435" t="n"/>
      <c r="L265" s="435" t="n"/>
      <c r="M265" s="435" t="n"/>
    </row>
    <row r="266">
      <c r="A266" s="435" t="n"/>
      <c r="B266" s="435" t="n"/>
      <c r="C266" s="435" t="n"/>
      <c r="D266" s="435" t="n"/>
      <c r="E266" s="435" t="n"/>
      <c r="F266" s="435" t="n"/>
      <c r="G266" s="435" t="n"/>
      <c r="H266" s="435" t="n"/>
      <c r="I266" s="435" t="n"/>
      <c r="J266" s="435" t="n"/>
      <c r="K266" s="435" t="n"/>
      <c r="L266" s="435" t="n"/>
      <c r="M266" s="435" t="n"/>
    </row>
    <row r="267">
      <c r="A267" s="435" t="n"/>
      <c r="B267" s="435" t="n"/>
      <c r="C267" s="435" t="n"/>
      <c r="D267" s="435" t="n"/>
      <c r="E267" s="435" t="n"/>
      <c r="F267" s="435" t="n"/>
      <c r="G267" s="435" t="n"/>
      <c r="H267" s="435" t="n"/>
      <c r="I267" s="435" t="n"/>
      <c r="J267" s="435" t="n"/>
      <c r="K267" s="435" t="n"/>
      <c r="L267" s="435" t="n"/>
      <c r="M267" s="435" t="n"/>
    </row>
    <row r="268">
      <c r="A268" s="435" t="n"/>
      <c r="B268" s="435" t="n"/>
      <c r="C268" s="435" t="n"/>
      <c r="D268" s="435" t="n"/>
      <c r="E268" s="435" t="n"/>
      <c r="F268" s="435" t="n"/>
      <c r="G268" s="435" t="n"/>
      <c r="H268" s="435" t="n"/>
      <c r="I268" s="435" t="n"/>
      <c r="J268" s="435" t="n"/>
      <c r="K268" s="435" t="n"/>
      <c r="L268" s="435" t="n"/>
      <c r="M268" s="435" t="n"/>
    </row>
    <row r="269">
      <c r="A269" s="435" t="n"/>
      <c r="B269" s="435" t="n"/>
      <c r="C269" s="435" t="n"/>
      <c r="D269" s="435" t="n"/>
      <c r="E269" s="435" t="n"/>
      <c r="F269" s="435" t="n"/>
      <c r="G269" s="435" t="n"/>
      <c r="H269" s="435" t="n"/>
      <c r="I269" s="435" t="n"/>
      <c r="J269" s="435" t="n"/>
      <c r="K269" s="435" t="n"/>
      <c r="L269" s="435" t="n"/>
      <c r="M269" s="435" t="n"/>
    </row>
    <row r="270">
      <c r="A270" s="435" t="n"/>
      <c r="B270" s="435" t="n"/>
      <c r="C270" s="435" t="n"/>
      <c r="D270" s="435" t="n"/>
      <c r="E270" s="435" t="n"/>
      <c r="F270" s="435" t="n"/>
      <c r="G270" s="435" t="n"/>
      <c r="H270" s="435" t="n"/>
      <c r="I270" s="435" t="n"/>
      <c r="J270" s="435" t="n"/>
      <c r="K270" s="435" t="n"/>
      <c r="L270" s="435" t="n"/>
      <c r="M270" s="435" t="n"/>
    </row>
    <row r="271">
      <c r="A271" s="435" t="n"/>
      <c r="B271" s="435" t="n"/>
      <c r="C271" s="435" t="n"/>
      <c r="D271" s="435" t="n"/>
      <c r="E271" s="435" t="n"/>
      <c r="F271" s="435" t="n"/>
      <c r="G271" s="435" t="n"/>
      <c r="H271" s="435" t="n"/>
      <c r="I271" s="435" t="n"/>
      <c r="J271" s="435" t="n"/>
      <c r="K271" s="435" t="n"/>
      <c r="L271" s="435" t="n"/>
      <c r="M271" s="435" t="n"/>
    </row>
    <row r="272">
      <c r="A272" s="435" t="n"/>
      <c r="B272" s="435" t="n"/>
      <c r="C272" s="435" t="n"/>
      <c r="D272" s="435" t="n"/>
      <c r="E272" s="435" t="n"/>
      <c r="F272" s="435" t="n"/>
      <c r="G272" s="435" t="n"/>
      <c r="H272" s="435" t="n"/>
      <c r="I272" s="435" t="n"/>
      <c r="J272" s="435" t="n"/>
      <c r="K272" s="435" t="n"/>
      <c r="L272" s="435" t="n"/>
      <c r="M272" s="435" t="n"/>
    </row>
    <row r="273">
      <c r="A273" s="435" t="n"/>
      <c r="B273" s="435" t="n"/>
      <c r="C273" s="435" t="n"/>
      <c r="D273" s="435" t="n"/>
      <c r="E273" s="435" t="n"/>
      <c r="F273" s="435" t="n"/>
      <c r="G273" s="435" t="n"/>
      <c r="H273" s="435" t="n"/>
      <c r="I273" s="435" t="n"/>
      <c r="J273" s="435" t="n"/>
      <c r="K273" s="435" t="n"/>
      <c r="L273" s="435" t="n"/>
      <c r="M273" s="435" t="n"/>
    </row>
    <row r="274">
      <c r="A274" s="435" t="n"/>
      <c r="B274" s="435" t="n"/>
      <c r="C274" s="435" t="n"/>
      <c r="D274" s="435" t="n"/>
      <c r="E274" s="435" t="n"/>
      <c r="F274" s="435" t="n"/>
      <c r="G274" s="435" t="n"/>
      <c r="H274" s="435" t="n"/>
      <c r="I274" s="435" t="n"/>
      <c r="J274" s="435" t="n"/>
      <c r="K274" s="435" t="n"/>
      <c r="L274" s="435" t="n"/>
      <c r="M274" s="435" t="n"/>
    </row>
    <row r="275">
      <c r="A275" s="435" t="n"/>
      <c r="B275" s="435" t="n"/>
      <c r="C275" s="435" t="n"/>
      <c r="D275" s="435" t="n"/>
      <c r="E275" s="435" t="n"/>
      <c r="F275" s="435" t="n"/>
      <c r="G275" s="435" t="n"/>
      <c r="H275" s="435" t="n"/>
      <c r="I275" s="435" t="n"/>
      <c r="J275" s="435" t="n"/>
      <c r="K275" s="435" t="n"/>
      <c r="L275" s="435" t="n"/>
      <c r="M275" s="435" t="n"/>
    </row>
    <row r="276">
      <c r="A276" s="435" t="n"/>
      <c r="B276" s="435" t="n"/>
      <c r="C276" s="435" t="n"/>
      <c r="D276" s="435" t="n"/>
      <c r="E276" s="435" t="n"/>
      <c r="F276" s="435" t="n"/>
      <c r="G276" s="435" t="n"/>
      <c r="H276" s="435" t="n"/>
      <c r="I276" s="435" t="n"/>
      <c r="J276" s="435" t="n"/>
      <c r="K276" s="435" t="n"/>
      <c r="L276" s="435" t="n"/>
      <c r="M276" s="435" t="n"/>
    </row>
    <row r="277">
      <c r="A277" s="435" t="n"/>
      <c r="B277" s="435" t="n"/>
      <c r="C277" s="435" t="n"/>
      <c r="D277" s="435" t="n"/>
      <c r="E277" s="435" t="n"/>
      <c r="F277" s="435" t="n"/>
      <c r="G277" s="435" t="n"/>
      <c r="H277" s="435" t="n"/>
      <c r="I277" s="435" t="n"/>
      <c r="J277" s="435" t="n"/>
      <c r="K277" s="435" t="n"/>
      <c r="L277" s="435" t="n"/>
      <c r="M277" s="435" t="n"/>
    </row>
    <row r="278">
      <c r="A278" s="435" t="n"/>
      <c r="B278" s="435" t="n"/>
      <c r="C278" s="435" t="n"/>
      <c r="D278" s="435" t="n"/>
      <c r="E278" s="435" t="n"/>
      <c r="F278" s="435" t="n"/>
      <c r="G278" s="435" t="n"/>
      <c r="H278" s="435" t="n"/>
      <c r="I278" s="435" t="n"/>
      <c r="J278" s="435" t="n"/>
      <c r="K278" s="435" t="n"/>
      <c r="L278" s="435" t="n"/>
      <c r="M278" s="435" t="n"/>
    </row>
    <row r="279">
      <c r="A279" s="435" t="n"/>
      <c r="B279" s="435" t="n"/>
      <c r="C279" s="435" t="n"/>
      <c r="D279" s="435" t="n"/>
      <c r="E279" s="435" t="n"/>
      <c r="F279" s="435" t="n"/>
      <c r="G279" s="435" t="n"/>
      <c r="H279" s="435" t="n"/>
      <c r="I279" s="435" t="n"/>
      <c r="J279" s="435" t="n"/>
      <c r="K279" s="435" t="n"/>
      <c r="L279" s="435" t="n"/>
      <c r="M279" s="435" t="n"/>
    </row>
    <row r="280">
      <c r="A280" s="435" t="n"/>
      <c r="B280" s="435" t="n"/>
      <c r="C280" s="435" t="n"/>
      <c r="D280" s="435" t="n"/>
      <c r="E280" s="435" t="n"/>
      <c r="F280" s="435" t="n"/>
      <c r="G280" s="435" t="n"/>
      <c r="H280" s="435" t="n"/>
      <c r="I280" s="435" t="n"/>
      <c r="J280" s="435" t="n"/>
      <c r="K280" s="435" t="n"/>
      <c r="L280" s="435" t="n"/>
      <c r="M280" s="435" t="n"/>
    </row>
    <row r="281">
      <c r="A281" s="472" t="inlineStr">
        <is>
          <t>Historical EV/EBITDA vs. Average</t>
        </is>
      </c>
      <c r="B281" s="435" t="n"/>
      <c r="C281" s="435" t="n"/>
      <c r="D281" s="435" t="n"/>
      <c r="E281" s="435" t="n"/>
      <c r="F281" s="435" t="n"/>
      <c r="G281" s="435" t="n"/>
      <c r="H281" s="435" t="n"/>
      <c r="I281" s="435" t="n"/>
      <c r="J281" s="435" t="n"/>
      <c r="K281" s="435" t="n"/>
      <c r="L281" s="435" t="n"/>
      <c r="M281" s="435" t="n"/>
    </row>
    <row r="282">
      <c r="A282" s="435" t="n"/>
      <c r="B282" s="435" t="n"/>
      <c r="C282" s="435" t="n"/>
      <c r="D282" s="435" t="n"/>
      <c r="E282" s="435" t="n"/>
      <c r="F282" s="435" t="n"/>
      <c r="G282" s="435" t="n"/>
      <c r="H282" s="435" t="n"/>
      <c r="I282" s="435" t="n"/>
      <c r="J282" s="435" t="n"/>
      <c r="K282" s="435" t="n"/>
      <c r="L282" s="435" t="n"/>
      <c r="M282" s="435" t="n"/>
    </row>
    <row r="283">
      <c r="A283" s="435" t="n"/>
      <c r="B283" s="435" t="n"/>
      <c r="C283" s="435" t="n"/>
      <c r="D283" s="435" t="n"/>
      <c r="E283" s="435" t="n"/>
      <c r="F283" s="435" t="n"/>
      <c r="G283" s="435" t="n"/>
      <c r="H283" s="435" t="n"/>
      <c r="I283" s="435" t="n"/>
      <c r="J283" s="435" t="n"/>
      <c r="K283" s="435" t="n"/>
      <c r="L283" s="435" t="n"/>
      <c r="M283" s="435" t="n"/>
    </row>
    <row r="284">
      <c r="A284" s="435" t="n"/>
      <c r="B284" s="435" t="n"/>
      <c r="C284" s="435" t="n"/>
      <c r="D284" s="435" t="n"/>
      <c r="E284" s="435" t="n"/>
      <c r="F284" s="435" t="n"/>
      <c r="G284" s="435" t="n"/>
      <c r="H284" s="435" t="n"/>
      <c r="I284" s="435" t="n"/>
      <c r="J284" s="435" t="n"/>
      <c r="K284" s="435" t="n"/>
      <c r="L284" s="435" t="n"/>
      <c r="M284" s="435" t="n"/>
    </row>
    <row r="285">
      <c r="A285" s="435" t="n"/>
      <c r="B285" s="435" t="n"/>
      <c r="C285" s="435" t="n"/>
      <c r="D285" s="435" t="n"/>
      <c r="E285" s="435" t="n"/>
      <c r="F285" s="435" t="n"/>
      <c r="G285" s="435" t="n"/>
      <c r="H285" s="435" t="n"/>
      <c r="I285" s="435" t="n"/>
      <c r="J285" s="435" t="n"/>
      <c r="K285" s="435" t="n"/>
      <c r="L285" s="435" t="n"/>
      <c r="M285" s="435" t="n"/>
    </row>
    <row r="286">
      <c r="A286" s="435" t="n"/>
      <c r="B286" s="435" t="n"/>
      <c r="C286" s="435" t="n"/>
      <c r="D286" s="435" t="n"/>
      <c r="E286" s="435" t="n"/>
      <c r="F286" s="435" t="n"/>
      <c r="G286" s="435" t="n"/>
      <c r="H286" s="435" t="n"/>
      <c r="I286" s="435" t="n"/>
      <c r="J286" s="435" t="n"/>
      <c r="K286" s="435" t="n"/>
      <c r="L286" s="435" t="n"/>
      <c r="M286" s="435" t="n"/>
    </row>
    <row r="287">
      <c r="A287" s="435" t="n"/>
      <c r="B287" s="435" t="n"/>
      <c r="C287" s="435" t="n"/>
      <c r="D287" s="435" t="n"/>
      <c r="E287" s="435" t="n"/>
      <c r="F287" s="435" t="n"/>
      <c r="G287" s="435" t="n"/>
      <c r="H287" s="435" t="n"/>
      <c r="I287" s="435" t="n"/>
      <c r="J287" s="435" t="n"/>
      <c r="K287" s="435" t="n"/>
      <c r="L287" s="435" t="n"/>
      <c r="M287" s="435" t="n"/>
    </row>
    <row r="288">
      <c r="A288" s="435" t="n"/>
      <c r="B288" s="435" t="n"/>
      <c r="C288" s="435" t="n"/>
      <c r="D288" s="435" t="n"/>
      <c r="E288" s="435" t="n"/>
      <c r="F288" s="435" t="n"/>
      <c r="G288" s="435" t="n"/>
      <c r="H288" s="435" t="n"/>
      <c r="I288" s="435" t="n"/>
      <c r="J288" s="435" t="n"/>
      <c r="K288" s="435" t="n"/>
      <c r="L288" s="435" t="n"/>
      <c r="M288" s="435" t="n"/>
    </row>
    <row r="289">
      <c r="A289" s="435" t="n"/>
      <c r="B289" s="435" t="n"/>
      <c r="C289" s="435" t="n"/>
      <c r="D289" s="435" t="n"/>
      <c r="E289" s="435" t="n"/>
      <c r="F289" s="435" t="n"/>
      <c r="G289" s="435" t="n"/>
      <c r="H289" s="435" t="n"/>
      <c r="I289" s="435" t="n"/>
      <c r="J289" s="435" t="n"/>
      <c r="K289" s="435" t="n"/>
      <c r="L289" s="435" t="n"/>
      <c r="M289" s="435" t="n"/>
    </row>
    <row r="290">
      <c r="A290" s="435" t="n"/>
      <c r="B290" s="435" t="n"/>
      <c r="C290" s="435" t="n"/>
      <c r="D290" s="435" t="n"/>
      <c r="E290" s="435" t="n"/>
      <c r="F290" s="435" t="n"/>
      <c r="G290" s="435" t="n"/>
      <c r="H290" s="435" t="n"/>
      <c r="I290" s="435" t="n"/>
      <c r="J290" s="435" t="n"/>
      <c r="K290" s="435" t="n"/>
      <c r="L290" s="435" t="n"/>
      <c r="M290" s="435" t="n"/>
    </row>
    <row r="291">
      <c r="A291" s="435" t="n"/>
      <c r="B291" s="435" t="n"/>
      <c r="C291" s="435" t="n"/>
      <c r="D291" s="435" t="n"/>
      <c r="E291" s="435" t="n"/>
      <c r="F291" s="435" t="n"/>
      <c r="G291" s="435" t="n"/>
      <c r="H291" s="435" t="n"/>
      <c r="I291" s="435" t="n"/>
      <c r="J291" s="435" t="n"/>
      <c r="K291" s="435" t="n"/>
      <c r="L291" s="435" t="n"/>
      <c r="M291" s="435" t="n"/>
    </row>
    <row r="292">
      <c r="A292" s="435" t="n"/>
      <c r="B292" s="435" t="n"/>
      <c r="C292" s="435" t="n"/>
      <c r="D292" s="435" t="n"/>
      <c r="E292" s="435" t="n"/>
      <c r="F292" s="435" t="n"/>
      <c r="G292" s="435" t="n"/>
      <c r="H292" s="435" t="n"/>
      <c r="I292" s="435" t="n"/>
      <c r="J292" s="435" t="n"/>
      <c r="K292" s="435" t="n"/>
      <c r="L292" s="435" t="n"/>
      <c r="M292" s="435" t="n"/>
    </row>
    <row r="293">
      <c r="A293" s="435" t="n"/>
      <c r="B293" s="435" t="n"/>
      <c r="C293" s="435" t="n"/>
      <c r="D293" s="435" t="n"/>
      <c r="E293" s="435" t="n"/>
      <c r="F293" s="435" t="n"/>
      <c r="G293" s="435" t="n"/>
      <c r="H293" s="435" t="n"/>
      <c r="I293" s="435" t="n"/>
      <c r="J293" s="435" t="n"/>
      <c r="K293" s="435" t="n"/>
      <c r="L293" s="435" t="n"/>
      <c r="M293" s="435" t="n"/>
    </row>
    <row r="294">
      <c r="A294" s="435" t="n"/>
      <c r="B294" s="435" t="n"/>
      <c r="C294" s="435" t="n"/>
      <c r="D294" s="435" t="n"/>
      <c r="E294" s="435" t="n"/>
      <c r="F294" s="435" t="n"/>
      <c r="G294" s="435" t="n"/>
      <c r="H294" s="435" t="n"/>
      <c r="I294" s="435" t="n"/>
      <c r="J294" s="435" t="n"/>
      <c r="K294" s="435" t="n"/>
      <c r="L294" s="435" t="n"/>
      <c r="M294" s="435" t="n"/>
    </row>
    <row r="295">
      <c r="A295" s="435" t="n"/>
      <c r="B295" s="435" t="n"/>
      <c r="C295" s="435" t="n"/>
      <c r="D295" s="435" t="n"/>
      <c r="E295" s="435" t="n"/>
      <c r="F295" s="435" t="n"/>
      <c r="G295" s="435" t="n"/>
      <c r="H295" s="435" t="n"/>
      <c r="I295" s="435" t="n"/>
      <c r="J295" s="435" t="n"/>
      <c r="K295" s="435" t="n"/>
      <c r="L295" s="435" t="n"/>
      <c r="M295" s="435" t="n"/>
    </row>
    <row r="296">
      <c r="A296" s="435" t="n"/>
      <c r="B296" s="435" t="n"/>
      <c r="C296" s="435" t="n"/>
      <c r="D296" s="435" t="n"/>
      <c r="E296" s="435" t="n"/>
      <c r="F296" s="435" t="n"/>
      <c r="G296" s="435" t="n"/>
      <c r="H296" s="435" t="n"/>
      <c r="I296" s="435" t="n"/>
      <c r="J296" s="435" t="n"/>
      <c r="K296" s="435" t="n"/>
      <c r="L296" s="435" t="n"/>
      <c r="M296" s="435" t="n"/>
    </row>
    <row r="297">
      <c r="A297" s="435" t="n"/>
      <c r="B297" s="435" t="n"/>
      <c r="C297" s="435" t="n"/>
      <c r="D297" s="435" t="n"/>
      <c r="E297" s="435" t="n"/>
      <c r="F297" s="435" t="n"/>
      <c r="G297" s="435" t="n"/>
      <c r="H297" s="435" t="n"/>
      <c r="I297" s="435" t="n"/>
      <c r="J297" s="435" t="n"/>
      <c r="K297" s="435" t="n"/>
      <c r="L297" s="435" t="n"/>
      <c r="M297" s="435" t="n"/>
    </row>
    <row r="298">
      <c r="A298" s="435" t="n"/>
      <c r="B298" s="435" t="n"/>
      <c r="C298" s="435" t="n"/>
      <c r="D298" s="435" t="n"/>
      <c r="E298" s="435" t="n"/>
      <c r="F298" s="435" t="n"/>
      <c r="G298" s="435" t="n"/>
      <c r="H298" s="435" t="n"/>
      <c r="I298" s="435" t="n"/>
      <c r="J298" s="435" t="n"/>
      <c r="K298" s="435" t="n"/>
      <c r="L298" s="435" t="n"/>
      <c r="M298" s="435" t="n"/>
    </row>
    <row r="299">
      <c r="A299" s="435" t="n"/>
      <c r="B299" s="435" t="n"/>
      <c r="C299" s="435" t="n"/>
      <c r="D299" s="435" t="n"/>
      <c r="E299" s="435" t="n"/>
      <c r="F299" s="435" t="n"/>
      <c r="G299" s="435" t="n"/>
      <c r="H299" s="435" t="n"/>
      <c r="I299" s="435" t="n"/>
      <c r="J299" s="435" t="n"/>
      <c r="K299" s="435" t="n"/>
      <c r="L299" s="435" t="n"/>
      <c r="M299" s="435" t="n"/>
    </row>
    <row r="300">
      <c r="A300" s="435" t="n"/>
      <c r="B300" s="435" t="n"/>
      <c r="C300" s="435" t="n"/>
      <c r="D300" s="435" t="n"/>
      <c r="E300" s="435" t="n"/>
      <c r="F300" s="435" t="n"/>
      <c r="G300" s="435" t="n"/>
      <c r="H300" s="435" t="n"/>
      <c r="I300" s="435" t="n"/>
      <c r="J300" s="435" t="n"/>
      <c r="K300" s="435" t="n"/>
      <c r="L300" s="435" t="n"/>
      <c r="M300" s="435" t="n"/>
    </row>
    <row r="301">
      <c r="A301" s="435" t="n"/>
      <c r="B301" s="435" t="n"/>
      <c r="C301" s="435" t="n"/>
      <c r="D301" s="435" t="n"/>
      <c r="E301" s="435" t="n"/>
      <c r="F301" s="435" t="n"/>
      <c r="G301" s="435" t="n"/>
      <c r="H301" s="435" t="n"/>
      <c r="I301" s="435" t="n"/>
      <c r="J301" s="435" t="n"/>
      <c r="K301" s="435" t="n"/>
      <c r="L301" s="435" t="n"/>
      <c r="M301" s="435" t="n"/>
    </row>
    <row r="302">
      <c r="A302" s="435" t="n"/>
      <c r="B302" s="435" t="n"/>
      <c r="C302" s="435" t="n"/>
      <c r="D302" s="435" t="n"/>
      <c r="E302" s="435" t="n"/>
      <c r="F302" s="435" t="n"/>
      <c r="G302" s="435" t="n"/>
      <c r="H302" s="435" t="n"/>
      <c r="I302" s="435" t="n"/>
      <c r="J302" s="435" t="n"/>
      <c r="K302" s="435" t="n"/>
      <c r="L302" s="435" t="n"/>
      <c r="M302" s="435" t="n"/>
    </row>
    <row r="303">
      <c r="A303" s="435" t="n"/>
      <c r="B303" s="435" t="n"/>
      <c r="C303" s="435" t="n"/>
      <c r="D303" s="435" t="n"/>
      <c r="E303" s="435" t="n"/>
      <c r="F303" s="435" t="n"/>
      <c r="G303" s="435" t="n"/>
      <c r="H303" s="435" t="n"/>
      <c r="I303" s="435" t="n"/>
      <c r="J303" s="435" t="n"/>
      <c r="K303" s="435" t="n"/>
      <c r="L303" s="435" t="n"/>
      <c r="M303" s="435" t="n"/>
    </row>
    <row r="304">
      <c r="A304" s="435" t="n"/>
      <c r="B304" s="435" t="n"/>
      <c r="C304" s="435" t="n"/>
      <c r="D304" s="435" t="n"/>
      <c r="E304" s="435" t="n"/>
      <c r="F304" s="435" t="n"/>
      <c r="G304" s="435" t="n"/>
      <c r="H304" s="435" t="n"/>
      <c r="I304" s="435" t="n"/>
      <c r="J304" s="435" t="n"/>
      <c r="K304" s="435" t="n"/>
      <c r="L304" s="435" t="n"/>
      <c r="M304" s="435" t="n"/>
    </row>
    <row r="305">
      <c r="A305" s="435" t="n"/>
      <c r="B305" s="435" t="n"/>
      <c r="C305" s="435" t="n"/>
      <c r="D305" s="435" t="n"/>
      <c r="E305" s="435" t="n"/>
      <c r="F305" s="435" t="n"/>
      <c r="G305" s="435" t="n"/>
      <c r="H305" s="435" t="n"/>
      <c r="I305" s="435" t="n"/>
      <c r="J305" s="435" t="n"/>
      <c r="K305" s="435" t="n"/>
      <c r="L305" s="435" t="n"/>
      <c r="M305" s="435" t="n"/>
    </row>
    <row r="306">
      <c r="A306" s="435" t="n"/>
      <c r="B306" s="435" t="n"/>
      <c r="C306" s="435" t="n"/>
      <c r="D306" s="435" t="n"/>
      <c r="E306" s="435" t="n"/>
      <c r="F306" s="435" t="n"/>
      <c r="G306" s="435" t="n"/>
      <c r="H306" s="435" t="n"/>
      <c r="I306" s="435" t="n"/>
      <c r="J306" s="435" t="n"/>
      <c r="K306" s="435" t="n"/>
      <c r="L306" s="435" t="n"/>
      <c r="M306" s="435" t="n"/>
    </row>
    <row r="307">
      <c r="A307" s="472" t="inlineStr">
        <is>
          <t>DCF Sensitivity (WACC × Terminal Growth)</t>
        </is>
      </c>
      <c r="B307" s="435" t="n"/>
      <c r="C307" s="435" t="n"/>
      <c r="D307" s="435" t="n"/>
      <c r="E307" s="435" t="n"/>
      <c r="F307" s="435" t="n"/>
      <c r="G307" s="435" t="n"/>
      <c r="H307" s="435" t="n"/>
      <c r="I307" s="435" t="n"/>
      <c r="J307" s="435" t="n"/>
      <c r="K307" s="435" t="n"/>
      <c r="L307" s="435" t="n"/>
      <c r="M307" s="435" t="n"/>
    </row>
    <row r="308">
      <c r="A308" s="502" t="inlineStr">
        <is>
          <t>WACC \ TGR</t>
        </is>
      </c>
      <c r="B308" s="476">
        <f>Valuation!B$148</f>
        <v/>
      </c>
      <c r="C308" s="476">
        <f>Valuation!C$148</f>
        <v/>
      </c>
      <c r="D308" s="476">
        <f>Valuation!D$148</f>
        <v/>
      </c>
      <c r="E308" s="476">
        <f>Valuation!E$148</f>
        <v/>
      </c>
      <c r="F308" s="476">
        <f>Valuation!F$148</f>
        <v/>
      </c>
      <c r="G308" s="476">
        <f>Valuation!G$148</f>
        <v/>
      </c>
      <c r="H308" s="476">
        <f>Valuation!H$148</f>
        <v/>
      </c>
      <c r="I308" s="435" t="n"/>
      <c r="J308" s="435" t="n"/>
      <c r="K308" s="435" t="n"/>
      <c r="L308" s="435" t="n"/>
      <c r="M308" s="435" t="n"/>
    </row>
    <row r="309">
      <c r="A309" s="476">
        <f>Valuation!$A$149</f>
        <v/>
      </c>
      <c r="B309" s="480">
        <f>Valuation!B$149</f>
        <v/>
      </c>
      <c r="C309" s="480">
        <f>Valuation!C$149</f>
        <v/>
      </c>
      <c r="D309" s="480">
        <f>Valuation!D$149</f>
        <v/>
      </c>
      <c r="E309" s="480">
        <f>Valuation!E$149</f>
        <v/>
      </c>
      <c r="F309" s="480">
        <f>Valuation!F$149</f>
        <v/>
      </c>
      <c r="G309" s="480">
        <f>Valuation!G$149</f>
        <v/>
      </c>
      <c r="H309" s="480">
        <f>Valuation!H$149</f>
        <v/>
      </c>
      <c r="I309" s="435" t="n"/>
      <c r="J309" s="435" t="n"/>
      <c r="K309" s="435" t="n"/>
      <c r="L309" s="435" t="n"/>
      <c r="M309" s="435" t="n"/>
    </row>
    <row r="310">
      <c r="A310" s="476">
        <f>Valuation!$A$150</f>
        <v/>
      </c>
      <c r="B310" s="480">
        <f>Valuation!B$150</f>
        <v/>
      </c>
      <c r="C310" s="480">
        <f>Valuation!C$150</f>
        <v/>
      </c>
      <c r="D310" s="480">
        <f>Valuation!D$150</f>
        <v/>
      </c>
      <c r="E310" s="480">
        <f>Valuation!E$150</f>
        <v/>
      </c>
      <c r="F310" s="480">
        <f>Valuation!F$150</f>
        <v/>
      </c>
      <c r="G310" s="480">
        <f>Valuation!G$150</f>
        <v/>
      </c>
      <c r="H310" s="480">
        <f>Valuation!H$150</f>
        <v/>
      </c>
      <c r="I310" s="435" t="n"/>
      <c r="J310" s="435" t="n"/>
      <c r="K310" s="435" t="n"/>
      <c r="L310" s="435" t="n"/>
      <c r="M310" s="435" t="n"/>
    </row>
    <row r="311">
      <c r="A311" s="476">
        <f>Valuation!$A$151</f>
        <v/>
      </c>
      <c r="B311" s="480">
        <f>Valuation!B$151</f>
        <v/>
      </c>
      <c r="C311" s="480">
        <f>Valuation!C$151</f>
        <v/>
      </c>
      <c r="D311" s="480">
        <f>Valuation!D$151</f>
        <v/>
      </c>
      <c r="E311" s="480">
        <f>Valuation!E$151</f>
        <v/>
      </c>
      <c r="F311" s="480">
        <f>Valuation!F$151</f>
        <v/>
      </c>
      <c r="G311" s="480">
        <f>Valuation!G$151</f>
        <v/>
      </c>
      <c r="H311" s="480">
        <f>Valuation!H$151</f>
        <v/>
      </c>
      <c r="I311" s="435" t="n"/>
      <c r="J311" s="435" t="n"/>
      <c r="K311" s="435" t="n"/>
      <c r="L311" s="435" t="n"/>
      <c r="M311" s="435" t="n"/>
    </row>
    <row r="312">
      <c r="A312" s="476">
        <f>Valuation!$A$152</f>
        <v/>
      </c>
      <c r="B312" s="480">
        <f>Valuation!B$152</f>
        <v/>
      </c>
      <c r="C312" s="480">
        <f>Valuation!C$152</f>
        <v/>
      </c>
      <c r="D312" s="480">
        <f>Valuation!D$152</f>
        <v/>
      </c>
      <c r="E312" s="480">
        <f>Valuation!E$152</f>
        <v/>
      </c>
      <c r="F312" s="480">
        <f>Valuation!F$152</f>
        <v/>
      </c>
      <c r="G312" s="480">
        <f>Valuation!G$152</f>
        <v/>
      </c>
      <c r="H312" s="480">
        <f>Valuation!H$152</f>
        <v/>
      </c>
      <c r="I312" s="435" t="n"/>
      <c r="J312" s="435" t="n"/>
      <c r="K312" s="435" t="n"/>
      <c r="L312" s="435" t="n"/>
      <c r="M312" s="435" t="n"/>
    </row>
    <row r="313">
      <c r="A313" s="476">
        <f>Valuation!$A$153</f>
        <v/>
      </c>
      <c r="B313" s="480">
        <f>Valuation!B$153</f>
        <v/>
      </c>
      <c r="C313" s="480">
        <f>Valuation!C$153</f>
        <v/>
      </c>
      <c r="D313" s="480">
        <f>Valuation!D$153</f>
        <v/>
      </c>
      <c r="E313" s="480">
        <f>Valuation!E$153</f>
        <v/>
      </c>
      <c r="F313" s="480">
        <f>Valuation!F$153</f>
        <v/>
      </c>
      <c r="G313" s="480">
        <f>Valuation!G$153</f>
        <v/>
      </c>
      <c r="H313" s="480">
        <f>Valuation!H$153</f>
        <v/>
      </c>
      <c r="I313" s="435" t="n"/>
      <c r="J313" s="435" t="n"/>
      <c r="K313" s="435" t="n"/>
      <c r="L313" s="435" t="n"/>
      <c r="M313" s="435" t="n"/>
    </row>
    <row r="314">
      <c r="A314" s="476">
        <f>Valuation!$A$154</f>
        <v/>
      </c>
      <c r="B314" s="480">
        <f>Valuation!B$154</f>
        <v/>
      </c>
      <c r="C314" s="480">
        <f>Valuation!C$154</f>
        <v/>
      </c>
      <c r="D314" s="480">
        <f>Valuation!D$154</f>
        <v/>
      </c>
      <c r="E314" s="480">
        <f>Valuation!E$154</f>
        <v/>
      </c>
      <c r="F314" s="480">
        <f>Valuation!F$154</f>
        <v/>
      </c>
      <c r="G314" s="480">
        <f>Valuation!G$154</f>
        <v/>
      </c>
      <c r="H314" s="480">
        <f>Valuation!H$154</f>
        <v/>
      </c>
      <c r="I314" s="435" t="n"/>
      <c r="J314" s="435" t="n"/>
      <c r="K314" s="435" t="n"/>
      <c r="L314" s="435" t="n"/>
      <c r="M314" s="435" t="n"/>
    </row>
    <row r="315">
      <c r="A315" s="476">
        <f>Valuation!$A$155</f>
        <v/>
      </c>
      <c r="B315" s="480">
        <f>Valuation!B$155</f>
        <v/>
      </c>
      <c r="C315" s="480">
        <f>Valuation!C$155</f>
        <v/>
      </c>
      <c r="D315" s="480">
        <f>Valuation!D$155</f>
        <v/>
      </c>
      <c r="E315" s="480">
        <f>Valuation!E$155</f>
        <v/>
      </c>
      <c r="F315" s="480">
        <f>Valuation!F$155</f>
        <v/>
      </c>
      <c r="G315" s="480">
        <f>Valuation!G$155</f>
        <v/>
      </c>
      <c r="H315" s="480">
        <f>Valuation!H$155</f>
        <v/>
      </c>
      <c r="I315" s="435" t="n"/>
      <c r="J315" s="435" t="n"/>
      <c r="K315" s="435" t="n"/>
      <c r="L315" s="435" t="n"/>
      <c r="M315" s="435" t="n"/>
    </row>
    <row r="316">
      <c r="A316" s="476">
        <f>Valuation!$A$156</f>
        <v/>
      </c>
      <c r="B316" s="480">
        <f>Valuation!B$156</f>
        <v/>
      </c>
      <c r="C316" s="480">
        <f>Valuation!C$156</f>
        <v/>
      </c>
      <c r="D316" s="480">
        <f>Valuation!D$156</f>
        <v/>
      </c>
      <c r="E316" s="480">
        <f>Valuation!E$156</f>
        <v/>
      </c>
      <c r="F316" s="480">
        <f>Valuation!F$156</f>
        <v/>
      </c>
      <c r="G316" s="480">
        <f>Valuation!G$156</f>
        <v/>
      </c>
      <c r="H316" s="480">
        <f>Valuation!H$156</f>
        <v/>
      </c>
      <c r="I316" s="435" t="n"/>
      <c r="J316" s="435" t="n"/>
      <c r="K316" s="435" t="n"/>
      <c r="L316" s="435" t="n"/>
      <c r="M316" s="435" t="n"/>
    </row>
    <row r="317">
      <c r="A317" s="476">
        <f>Valuation!$A$157</f>
        <v/>
      </c>
      <c r="B317" s="480">
        <f>Valuation!B$157</f>
        <v/>
      </c>
      <c r="C317" s="480">
        <f>Valuation!C$157</f>
        <v/>
      </c>
      <c r="D317" s="480">
        <f>Valuation!D$157</f>
        <v/>
      </c>
      <c r="E317" s="480">
        <f>Valuation!E$157</f>
        <v/>
      </c>
      <c r="F317" s="480">
        <f>Valuation!F$157</f>
        <v/>
      </c>
      <c r="G317" s="480">
        <f>Valuation!G$157</f>
        <v/>
      </c>
      <c r="H317" s="480">
        <f>Valuation!H$157</f>
        <v/>
      </c>
      <c r="I317" s="435" t="n"/>
      <c r="J317" s="435" t="n"/>
      <c r="K317" s="435" t="n"/>
      <c r="L317" s="435" t="n"/>
      <c r="M317" s="435" t="n"/>
    </row>
    <row r="318">
      <c r="A318" s="435" t="n"/>
      <c r="B318" s="435" t="n"/>
      <c r="C318" s="435" t="n"/>
      <c r="D318" s="435" t="n"/>
      <c r="E318" s="435" t="n"/>
      <c r="F318" s="435" t="n"/>
      <c r="G318" s="435" t="n"/>
      <c r="H318" s="435" t="n"/>
      <c r="I318" s="435" t="n"/>
      <c r="J318" s="435" t="n"/>
      <c r="K318" s="435" t="n"/>
      <c r="L318" s="435" t="n"/>
      <c r="M318" s="435" t="n"/>
    </row>
    <row r="319">
      <c r="A319" s="435" t="n"/>
      <c r="B319" s="435" t="n"/>
      <c r="C319" s="435" t="n"/>
      <c r="D319" s="435" t="n"/>
      <c r="E319" s="435" t="n"/>
      <c r="F319" s="435" t="n"/>
      <c r="G319" s="435" t="n"/>
      <c r="H319" s="435" t="n"/>
      <c r="I319" s="435" t="n"/>
      <c r="J319" s="435" t="n"/>
      <c r="K319" s="435" t="n"/>
      <c r="L319" s="435" t="n"/>
      <c r="M319" s="435" t="n"/>
    </row>
    <row r="320">
      <c r="A320" s="435" t="n"/>
      <c r="B320" s="435" t="n"/>
      <c r="C320" s="435" t="n"/>
      <c r="D320" s="435" t="n"/>
      <c r="E320" s="435" t="n"/>
      <c r="F320" s="435" t="n"/>
      <c r="G320" s="435" t="n"/>
      <c r="H320" s="435" t="n"/>
      <c r="I320" s="435" t="n"/>
      <c r="J320" s="435" t="n"/>
      <c r="K320" s="435" t="n"/>
      <c r="L320" s="435" t="n"/>
      <c r="M320" s="435" t="n"/>
    </row>
    <row r="321">
      <c r="A321" s="435" t="n"/>
      <c r="B321" s="435" t="n"/>
      <c r="C321" s="435" t="n"/>
      <c r="D321" s="435" t="n"/>
      <c r="E321" s="435" t="n"/>
      <c r="F321" s="435" t="n"/>
      <c r="G321" s="435" t="n"/>
      <c r="H321" s="435" t="n"/>
      <c r="I321" s="435" t="n"/>
      <c r="J321" s="435" t="n"/>
      <c r="K321" s="435" t="n"/>
      <c r="L321" s="435" t="n"/>
      <c r="M321" s="435" t="n"/>
    </row>
    <row r="322">
      <c r="A322" s="435" t="n"/>
      <c r="B322" s="435" t="n"/>
      <c r="C322" s="435" t="n"/>
      <c r="D322" s="435" t="n"/>
      <c r="E322" s="435" t="n"/>
      <c r="F322" s="435" t="n"/>
      <c r="G322" s="435" t="n"/>
      <c r="H322" s="435" t="n"/>
      <c r="I322" s="435" t="n"/>
      <c r="J322" s="435" t="n"/>
      <c r="K322" s="435" t="n"/>
      <c r="L322" s="435" t="n"/>
      <c r="M322" s="435" t="n"/>
    </row>
    <row r="323">
      <c r="A323" s="469" t="inlineStr">
        <is>
          <t>Quarterly Trend</t>
        </is>
      </c>
      <c r="B323" s="470" t="n"/>
      <c r="C323" s="470" t="n"/>
      <c r="D323" s="470" t="n"/>
      <c r="E323" s="470" t="n"/>
      <c r="F323" s="470" t="n"/>
      <c r="G323" s="470" t="n"/>
      <c r="H323" s="470" t="n"/>
      <c r="I323" s="470" t="n"/>
      <c r="J323" s="470" t="n"/>
      <c r="K323" s="470" t="n"/>
      <c r="L323" s="470" t="n"/>
      <c r="M323" s="470" t="n"/>
    </row>
    <row r="324">
      <c r="A324" s="435" t="n"/>
      <c r="B324" s="435" t="n"/>
      <c r="C324" s="435" t="n"/>
      <c r="D324" s="435" t="n"/>
      <c r="E324" s="435" t="n"/>
      <c r="F324" s="435" t="n"/>
      <c r="G324" s="435" t="n"/>
      <c r="H324" s="435" t="n"/>
      <c r="I324" s="435" t="n"/>
      <c r="J324" s="435" t="n"/>
      <c r="K324" s="435" t="n"/>
      <c r="L324" s="435" t="n"/>
      <c r="M324" s="435" t="n"/>
    </row>
    <row r="325">
      <c r="A325" s="472" t="inlineStr">
        <is>
          <t>Quarterly Revenue &amp; Net Margin</t>
        </is>
      </c>
      <c r="B325" s="435" t="n"/>
      <c r="C325" s="435" t="n"/>
      <c r="D325" s="435" t="n"/>
      <c r="E325" s="435" t="n"/>
      <c r="F325" s="435" t="n"/>
      <c r="G325" s="435" t="n"/>
      <c r="H325" s="435" t="n"/>
      <c r="I325" s="435" t="n"/>
      <c r="J325" s="435" t="n"/>
      <c r="K325" s="435" t="n"/>
      <c r="L325" s="435" t="n"/>
      <c r="M325" s="435" t="n"/>
    </row>
  </sheetData>
  <conditionalFormatting sqref="B309:H317">
    <cfRule type="colorScale" priority="1">
      <colorScale>
        <cfvo type="min"/>
        <cfvo type="percentile" val="50"/>
        <cfvo type="max"/>
        <color rgb="00F8696B"/>
        <color rgb="00FFEB84"/>
        <color rgb="0063BE7B"/>
      </colorScale>
    </cfRule>
  </conditionalFormatting>
  <pageMargins left="0.75" right="0.75" top="1" bottom="1" header="0.511811023622047" footer="0.511811023622047"/>
  <pageSetup orientation="landscape" paperSize="9" fitToHeight="0" fitToWidth="1" horizontalDpi="300" verticalDpi="300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0"/>
  <sheetViews>
    <sheetView showGridLines="1" zoomScale="100" workbookViewId="0">
      <pane xSplit="1" topLeftCell="B1" activePane="topRight" state="frozen"/>
      <selection activeCell="A1" sqref="A1"/>
    </sheetView>
  </sheetViews>
  <sheetFormatPr baseColWidth="8" defaultRowHeight="15"/>
  <cols>
    <col width="30" customWidth="1" style="74" min="1" max="1"/>
    <col width="14" customWidth="1" style="74" min="2" max="2"/>
    <col width="12" customWidth="1" style="74" min="3" max="3"/>
    <col width="30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6" customWidth="1" style="74" min="13" max="13"/>
  </cols>
  <sheetData>
    <row r="1" ht="57.75" customHeight="1" s="74">
      <c r="A1" s="290" t="inlineStr">
        <is>
          <t>Market Data</t>
        </is>
      </c>
      <c r="B1" s="95" t="n"/>
      <c r="C1" s="95" t="n"/>
      <c r="D1" s="95" t="n"/>
      <c r="E1" s="95" t="n"/>
      <c r="F1" s="95" t="n"/>
      <c r="G1" s="95" t="n"/>
      <c r="H1" s="95" t="n"/>
      <c r="I1" s="95" t="n"/>
      <c r="J1" s="95" t="n"/>
      <c r="K1" s="95" t="n"/>
      <c r="L1" s="95" t="n"/>
      <c r="M1" s="95" t="n"/>
    </row>
    <row r="2" ht="17" customHeight="1" s="74">
      <c r="A2" s="291" t="inlineStr">
        <is>
          <t>Colour key:</t>
        </is>
      </c>
      <c r="B2" s="292" t="inlineStr">
        <is>
          <t>Company filing</t>
        </is>
      </c>
      <c r="C2" s="95" t="n"/>
      <c r="D2" s="293" t="inlineStr">
        <is>
          <t>Online / market</t>
        </is>
      </c>
      <c r="E2" s="95" t="n"/>
      <c r="F2" s="370" t="inlineStr">
        <is>
          <t>Computed</t>
        </is>
      </c>
      <c r="G2" s="95" t="n"/>
      <c r="H2" s="295" t="inlineStr">
        <is>
          <t>Analyst input</t>
        </is>
      </c>
      <c r="I2" s="95" t="n"/>
      <c r="J2" s="95" t="n"/>
      <c r="K2" s="95" t="n"/>
      <c r="L2" s="95" t="n"/>
      <c r="M2" s="95" t="n"/>
    </row>
    <row r="3" ht="8" customHeight="1" s="74">
      <c r="A3" s="95" t="n"/>
      <c r="B3" s="95" t="n"/>
      <c r="C3" s="95" t="n"/>
      <c r="D3" s="95" t="n"/>
      <c r="E3" s="95" t="n"/>
      <c r="F3" s="95" t="n"/>
      <c r="G3" s="95" t="n"/>
      <c r="H3" s="95" t="n"/>
      <c r="I3" s="95" t="n"/>
      <c r="J3" s="95" t="n"/>
      <c r="K3" s="95" t="n"/>
      <c r="L3" s="95" t="n"/>
      <c r="M3" s="95" t="n"/>
    </row>
    <row r="4" ht="22" customHeight="1" s="74">
      <c r="A4" s="296" t="inlineStr">
        <is>
          <t>A — CURRENT MARKET METRICS</t>
        </is>
      </c>
      <c r="B4" s="490" t="n"/>
      <c r="C4" s="490" t="n"/>
      <c r="D4" s="490" t="n"/>
      <c r="E4" s="490" t="n"/>
      <c r="F4" s="490" t="n"/>
      <c r="G4" s="490" t="n"/>
      <c r="H4" s="490" t="n"/>
      <c r="I4" s="490" t="n"/>
      <c r="J4" s="490" t="n"/>
      <c r="K4" s="490" t="n"/>
      <c r="L4" s="490" t="n"/>
      <c r="M4" s="490" t="n"/>
    </row>
    <row r="5" ht="18" customHeight="1" s="74">
      <c r="A5" s="297" t="inlineStr">
        <is>
          <t>Analysis Date</t>
        </is>
      </c>
      <c r="B5" s="137" t="n"/>
      <c r="C5" s="138" t="n"/>
      <c r="D5" s="298" t="inlineStr">
        <is>
          <t>Enter today's date — carried into the report header</t>
        </is>
      </c>
      <c r="E5" s="106" t="n"/>
      <c r="F5" s="106" t="n"/>
      <c r="G5" s="106" t="n"/>
      <c r="H5" s="106" t="n"/>
      <c r="I5" s="106" t="n"/>
      <c r="J5" s="106" t="n"/>
      <c r="K5" s="106" t="n"/>
      <c r="L5" s="106" t="n"/>
      <c r="M5" s="106" t="n"/>
    </row>
    <row r="6" ht="18" customHeight="1" s="74">
      <c r="A6" s="297" t="inlineStr">
        <is>
          <t>Data Source</t>
        </is>
      </c>
      <c r="B6" s="137" t="n"/>
      <c r="C6" s="138" t="n"/>
      <c r="D6" s="298" t="inlineStr">
        <is>
          <t>e.g. "Yahoo Finance"  |  "Bloomberg"  |  "Broker platform"</t>
        </is>
      </c>
      <c r="E6" s="106" t="n"/>
      <c r="F6" s="106" t="n"/>
      <c r="G6" s="106" t="n"/>
      <c r="H6" s="106" t="n"/>
      <c r="I6" s="106" t="n"/>
      <c r="J6" s="106" t="n"/>
      <c r="K6" s="106" t="n"/>
      <c r="L6" s="106" t="n"/>
      <c r="M6" s="106" t="n"/>
    </row>
    <row r="7" ht="8" customHeight="1" s="74">
      <c r="A7" s="95" t="n"/>
      <c r="B7" s="95" t="n"/>
      <c r="C7" s="95" t="n"/>
      <c r="D7" s="95" t="n"/>
      <c r="E7" s="95" t="n"/>
      <c r="F7" s="95" t="n"/>
      <c r="G7" s="95" t="n"/>
      <c r="H7" s="95" t="n"/>
      <c r="I7" s="95" t="n"/>
      <c r="J7" s="95" t="n"/>
      <c r="K7" s="95" t="n"/>
      <c r="L7" s="95" t="n"/>
      <c r="M7" s="95" t="n"/>
    </row>
    <row r="8" ht="18" customHeight="1" s="74">
      <c r="A8" s="297" t="inlineStr">
        <is>
          <t>Current Stock Price</t>
        </is>
      </c>
      <c r="B8" s="299" t="n">
        <v>284.02</v>
      </c>
      <c r="C8" s="138" t="n"/>
      <c r="D8" s="139" t="n"/>
      <c r="E8" s="106" t="n"/>
      <c r="F8" s="106" t="n"/>
      <c r="G8" s="106" t="n"/>
      <c r="H8" s="106" t="n"/>
      <c r="I8" s="106" t="n"/>
      <c r="J8" s="106" t="n"/>
      <c r="K8" s="106" t="n"/>
      <c r="L8" s="106" t="n"/>
      <c r="M8" s="106" t="n"/>
    </row>
    <row r="9" ht="18" customHeight="1" s="74">
      <c r="A9" s="297" t="inlineStr">
        <is>
          <t>52-Week High</t>
        </is>
      </c>
      <c r="B9" s="137" t="n"/>
      <c r="C9" s="138" t="n"/>
      <c r="D9" s="139" t="n"/>
      <c r="E9" s="106" t="n"/>
      <c r="F9" s="106" t="n"/>
      <c r="G9" s="106" t="n"/>
      <c r="H9" s="106" t="n"/>
      <c r="I9" s="106" t="n"/>
      <c r="J9" s="106" t="n"/>
      <c r="K9" s="106" t="n"/>
      <c r="L9" s="106" t="n"/>
      <c r="M9" s="106" t="n"/>
    </row>
    <row r="10" ht="18" customHeight="1" s="74">
      <c r="A10" s="297" t="inlineStr">
        <is>
          <t>52-Week Low</t>
        </is>
      </c>
      <c r="B10" s="137" t="n"/>
      <c r="C10" s="138" t="n"/>
      <c r="D10" s="139" t="n"/>
      <c r="E10" s="106" t="n"/>
      <c r="F10" s="106" t="n"/>
      <c r="G10" s="106" t="n"/>
      <c r="H10" s="106" t="n"/>
      <c r="I10" s="106" t="n"/>
      <c r="J10" s="106" t="n"/>
      <c r="K10" s="106" t="n"/>
      <c r="L10" s="106" t="n"/>
      <c r="M10" s="106" t="n"/>
    </row>
    <row r="11" ht="18" customHeight="1" s="74">
      <c r="A11" s="300" t="inlineStr">
        <is>
          <t>Shares Outstanding</t>
        </is>
      </c>
      <c r="B11" s="301" t="n">
        <v>10903</v>
      </c>
      <c r="C11" s="142" t="n"/>
      <c r="D11" s="143" t="n"/>
      <c r="E11" s="111" t="n"/>
      <c r="F11" s="111" t="n"/>
      <c r="G11" s="111" t="n"/>
      <c r="H11" s="111" t="n"/>
      <c r="I11" s="111" t="n"/>
      <c r="J11" s="111" t="n"/>
      <c r="K11" s="111" t="n"/>
      <c r="L11" s="111" t="n"/>
      <c r="M11" s="111" t="n"/>
    </row>
    <row r="12" ht="8" customHeight="1" s="74">
      <c r="A12" s="95" t="n"/>
      <c r="B12" s="95" t="n"/>
      <c r="C12" s="95" t="n"/>
      <c r="D12" s="95" t="n"/>
      <c r="E12" s="95" t="n"/>
      <c r="F12" s="95" t="n"/>
      <c r="G12" s="95" t="n"/>
      <c r="H12" s="95" t="n"/>
      <c r="I12" s="95" t="n"/>
      <c r="J12" s="95" t="n"/>
      <c r="K12" s="95" t="n"/>
      <c r="L12" s="95" t="n"/>
      <c r="M12" s="95" t="n"/>
    </row>
    <row r="13" ht="18" customHeight="1" s="74">
      <c r="A13" s="371" t="inlineStr">
        <is>
          <t>Market Capitalization</t>
        </is>
      </c>
      <c r="B13" s="372" t="n">
        <v>3096670.06</v>
      </c>
      <c r="C13" s="373" t="n"/>
      <c r="D13" s="374" t="n"/>
      <c r="E13" s="375" t="n"/>
      <c r="F13" s="375" t="n"/>
      <c r="G13" s="375" t="n"/>
      <c r="H13" s="375" t="n"/>
      <c r="I13" s="375" t="n"/>
      <c r="J13" s="375" t="n"/>
      <c r="K13" s="375" t="n"/>
      <c r="L13" s="375" t="n"/>
      <c r="M13" s="375" t="n"/>
    </row>
    <row r="14" ht="18" customHeight="1" s="74">
      <c r="A14" s="300" t="inlineStr">
        <is>
          <t>Net Debt</t>
        </is>
      </c>
      <c r="B14" s="301" t="n">
        <v>-18414</v>
      </c>
      <c r="C14" s="142" t="n"/>
      <c r="D14" s="143" t="n"/>
      <c r="E14" s="111" t="n"/>
      <c r="F14" s="111" t="n"/>
      <c r="G14" s="111" t="n"/>
      <c r="H14" s="111" t="n"/>
      <c r="I14" s="111" t="n"/>
      <c r="J14" s="111" t="n"/>
      <c r="K14" s="111" t="n"/>
      <c r="L14" s="111" t="n"/>
      <c r="M14" s="111" t="n"/>
    </row>
    <row r="15" ht="18" customHeight="1" s="74">
      <c r="A15" s="371" t="inlineStr">
        <is>
          <t>Enterprise Value</t>
        </is>
      </c>
      <c r="B15" s="372" t="n">
        <v>3078256.06</v>
      </c>
      <c r="C15" s="373" t="n"/>
      <c r="D15" s="374" t="n"/>
      <c r="E15" s="375" t="n"/>
      <c r="F15" s="375" t="n"/>
      <c r="G15" s="375" t="n"/>
      <c r="H15" s="375" t="n"/>
      <c r="I15" s="375" t="n"/>
      <c r="J15" s="375" t="n"/>
      <c r="K15" s="375" t="n"/>
      <c r="L15" s="375" t="n"/>
      <c r="M15" s="375" t="n"/>
    </row>
    <row r="16" ht="8" customHeight="1" s="74">
      <c r="A16" s="95" t="n"/>
      <c r="B16" s="95" t="n"/>
      <c r="C16" s="95" t="n"/>
      <c r="D16" s="95" t="n"/>
      <c r="E16" s="95" t="n"/>
      <c r="F16" s="95" t="n"/>
      <c r="G16" s="95" t="n"/>
      <c r="H16" s="95" t="n"/>
      <c r="I16" s="95" t="n"/>
      <c r="J16" s="95" t="n"/>
      <c r="K16" s="95" t="n"/>
      <c r="L16" s="95" t="n"/>
      <c r="M16" s="95" t="n"/>
    </row>
    <row r="17" ht="18" customHeight="1" s="74">
      <c r="A17" s="371" t="inlineStr">
        <is>
          <t>EV / LTM EBITDA</t>
        </is>
      </c>
      <c r="B17" s="372" t="n">
        <v>21.122863769548</v>
      </c>
      <c r="C17" s="373" t="n"/>
      <c r="D17" s="374" t="n"/>
      <c r="E17" s="375" t="n"/>
      <c r="F17" s="375" t="n"/>
      <c r="G17" s="375" t="n"/>
      <c r="H17" s="375" t="n"/>
      <c r="I17" s="375" t="n"/>
      <c r="J17" s="375" t="n"/>
      <c r="K17" s="375" t="n"/>
      <c r="L17" s="375" t="n"/>
      <c r="M17" s="375" t="n"/>
    </row>
    <row r="18" ht="18" customHeight="1" s="74">
      <c r="A18" s="371" t="inlineStr">
        <is>
          <t>P / LTM EPS (P/E)</t>
        </is>
      </c>
      <c r="B18" s="372" t="n">
        <v>39.61227336122733</v>
      </c>
      <c r="C18" s="373" t="n"/>
      <c r="D18" s="374" t="n"/>
      <c r="E18" s="375" t="n"/>
      <c r="F18" s="375" t="n"/>
      <c r="G18" s="375" t="n"/>
      <c r="H18" s="375" t="n"/>
      <c r="I18" s="375" t="n"/>
      <c r="J18" s="375" t="n"/>
      <c r="K18" s="375" t="n"/>
      <c r="L18" s="375" t="n"/>
      <c r="M18" s="375" t="n"/>
    </row>
    <row r="19" ht="18" customHeight="1" s="74">
      <c r="A19" s="371" t="inlineStr">
        <is>
          <t>LTM FCF per Share</t>
        </is>
      </c>
      <c r="B19" s="372" t="n">
        <v>0.7107231920199502</v>
      </c>
      <c r="C19" s="373" t="n"/>
      <c r="D19" s="374" t="n"/>
      <c r="E19" s="375" t="n"/>
      <c r="F19" s="375" t="n"/>
      <c r="G19" s="375" t="n"/>
      <c r="H19" s="375" t="n"/>
      <c r="I19" s="375" t="n"/>
      <c r="J19" s="375" t="n"/>
      <c r="K19" s="375" t="n"/>
      <c r="L19" s="375" t="n"/>
      <c r="M19" s="375" t="n"/>
    </row>
    <row r="20" ht="18" customHeight="1" s="74">
      <c r="A20" s="371" t="inlineStr">
        <is>
          <t>FCF Yield</t>
        </is>
      </c>
      <c r="B20" s="372" t="n">
        <v>0.002502370227519013</v>
      </c>
      <c r="C20" s="373" t="n"/>
      <c r="D20" s="374" t="n"/>
      <c r="E20" s="375" t="n"/>
      <c r="F20" s="375" t="n"/>
      <c r="G20" s="375" t="n"/>
      <c r="H20" s="375" t="n"/>
      <c r="I20" s="375" t="n"/>
      <c r="J20" s="375" t="n"/>
      <c r="K20" s="375" t="n"/>
      <c r="L20" s="375" t="n"/>
      <c r="M20" s="375" t="n"/>
    </row>
    <row r="21" ht="18" customHeight="1" s="74">
      <c r="A21" s="371" t="inlineStr">
        <is>
          <t>Dividend Yield</t>
        </is>
      </c>
      <c r="B21" s="372" t="n"/>
      <c r="C21" s="373" t="n"/>
      <c r="D21" s="374" t="n"/>
      <c r="E21" s="375" t="n"/>
      <c r="F21" s="375" t="n"/>
      <c r="G21" s="375" t="n"/>
      <c r="H21" s="375" t="n"/>
      <c r="I21" s="375" t="n"/>
      <c r="J21" s="375" t="n"/>
      <c r="K21" s="375" t="n"/>
      <c r="L21" s="375" t="n"/>
      <c r="M21" s="375" t="n"/>
    </row>
    <row r="22" ht="8" customHeight="1" s="74">
      <c r="A22" s="95" t="n"/>
      <c r="B22" s="95" t="n"/>
      <c r="C22" s="95" t="n"/>
      <c r="D22" s="95" t="n"/>
      <c r="E22" s="95" t="n"/>
      <c r="F22" s="95" t="n"/>
      <c r="G22" s="95" t="n"/>
      <c r="H22" s="95" t="n"/>
      <c r="I22" s="95" t="n"/>
      <c r="J22" s="95" t="n"/>
      <c r="K22" s="95" t="n"/>
      <c r="L22" s="95" t="n"/>
      <c r="M22" s="95" t="n"/>
    </row>
    <row r="23" ht="22" customHeight="1" s="74">
      <c r="A23" s="296" t="inlineStr">
        <is>
          <t>B — COST OF CAPITAL (WACC INPUTS)</t>
        </is>
      </c>
      <c r="B23" s="490" t="n"/>
      <c r="C23" s="490" t="n"/>
      <c r="D23" s="490" t="n"/>
      <c r="E23" s="490" t="n"/>
      <c r="F23" s="490" t="n"/>
      <c r="G23" s="490" t="n"/>
      <c r="H23" s="490" t="n"/>
      <c r="I23" s="490" t="n"/>
      <c r="J23" s="490" t="n"/>
      <c r="K23" s="490" t="n"/>
      <c r="L23" s="490" t="n"/>
      <c r="M23" s="490" t="n"/>
    </row>
    <row r="24" ht="18" customHeight="1" s="74">
      <c r="A24" s="297" t="inlineStr">
        <is>
          <t>Risk-Free Rate (10Y UST)</t>
        </is>
      </c>
      <c r="B24" s="304" t="n">
        <v>0.0475</v>
      </c>
      <c r="C24" s="138" t="n"/>
      <c r="D24" s="139" t="n"/>
      <c r="E24" s="106" t="n"/>
      <c r="F24" s="106" t="n"/>
      <c r="G24" s="106" t="n"/>
      <c r="H24" s="106" t="n"/>
      <c r="I24" s="106" t="n"/>
      <c r="J24" s="106" t="n"/>
      <c r="K24" s="106" t="n"/>
      <c r="L24" s="106" t="n"/>
      <c r="M24" s="106" t="n"/>
    </row>
    <row r="25" ht="18" customHeight="1" s="74">
      <c r="A25" s="297" t="inlineStr">
        <is>
          <t>Equity Risk Premium (ERP)</t>
        </is>
      </c>
      <c r="B25" s="304" t="n">
        <v>0.0423</v>
      </c>
      <c r="C25" s="138" t="n"/>
      <c r="D25" s="139" t="n"/>
      <c r="E25" s="106" t="n"/>
      <c r="F25" s="106" t="n"/>
      <c r="G25" s="106" t="n"/>
      <c r="H25" s="106" t="n"/>
      <c r="I25" s="106" t="n"/>
      <c r="J25" s="106" t="n"/>
      <c r="K25" s="106" t="n"/>
      <c r="L25" s="106" t="n"/>
      <c r="M25" s="106" t="n"/>
    </row>
    <row r="26" ht="18" customHeight="1" s="74">
      <c r="A26" s="297" t="inlineStr">
        <is>
          <t>Beta (Levered)</t>
        </is>
      </c>
      <c r="B26" s="304" t="n">
        <v>1.451</v>
      </c>
      <c r="C26" s="138" t="n"/>
      <c r="D26" s="139" t="n"/>
      <c r="E26" s="106" t="n"/>
      <c r="F26" s="106" t="n"/>
      <c r="G26" s="106" t="n"/>
      <c r="H26" s="106" t="n"/>
      <c r="I26" s="106" t="n"/>
      <c r="J26" s="106" t="n"/>
      <c r="K26" s="106" t="n"/>
      <c r="L26" s="106" t="n"/>
      <c r="M26" s="106" t="n"/>
    </row>
    <row r="27" ht="18" customHeight="1" s="74">
      <c r="A27" s="297" t="inlineStr">
        <is>
          <t>Size Premium</t>
        </is>
      </c>
      <c r="B27" s="137" t="n"/>
      <c r="C27" s="138" t="n"/>
      <c r="D27" s="139" t="n"/>
      <c r="E27" s="106" t="n"/>
      <c r="F27" s="106" t="n"/>
      <c r="G27" s="106" t="n"/>
      <c r="H27" s="106" t="n"/>
      <c r="I27" s="106" t="n"/>
      <c r="J27" s="106" t="n"/>
      <c r="K27" s="106" t="n"/>
      <c r="L27" s="106" t="n"/>
      <c r="M27" s="106" t="n"/>
    </row>
    <row r="28" ht="18" customHeight="1" s="74">
      <c r="A28" s="305" t="inlineStr">
        <is>
          <t>Company-Specific Risk Premium</t>
        </is>
      </c>
      <c r="B28" s="150" t="n"/>
      <c r="C28" s="151" t="n"/>
      <c r="D28" s="152" t="n"/>
      <c r="E28" s="122" t="n"/>
      <c r="F28" s="122" t="n"/>
      <c r="G28" s="122" t="n"/>
      <c r="H28" s="122" t="n"/>
      <c r="I28" s="122" t="n"/>
      <c r="J28" s="122" t="n"/>
      <c r="K28" s="122" t="n"/>
      <c r="L28" s="122" t="n"/>
      <c r="M28" s="122" t="n"/>
    </row>
    <row r="29" ht="18" customHeight="1" s="74">
      <c r="A29" s="371" t="inlineStr">
        <is>
          <t>Cost of Equity  (Ke)</t>
        </is>
      </c>
      <c r="B29" s="372">
        <f>B24+B26*(B25+B28)+B27</f>
        <v/>
      </c>
      <c r="C29" s="373" t="n"/>
      <c r="D29" s="374" t="n"/>
      <c r="E29" s="375" t="n"/>
      <c r="F29" s="375" t="n"/>
      <c r="G29" s="375" t="n"/>
      <c r="H29" s="375" t="n"/>
      <c r="I29" s="375" t="n"/>
      <c r="J29" s="375" t="n"/>
      <c r="K29" s="375" t="n"/>
      <c r="L29" s="375" t="n"/>
      <c r="M29" s="375" t="n"/>
    </row>
    <row r="30" ht="8" customHeight="1" s="74">
      <c r="A30" s="95" t="n"/>
      <c r="B30" s="95" t="n"/>
      <c r="C30" s="95" t="n"/>
      <c r="D30" s="95" t="n"/>
      <c r="E30" s="95" t="n"/>
      <c r="F30" s="95" t="n"/>
      <c r="G30" s="95" t="n"/>
      <c r="H30" s="95" t="n"/>
      <c r="I30" s="95" t="n"/>
      <c r="J30" s="95" t="n"/>
      <c r="K30" s="95" t="n"/>
      <c r="L30" s="95" t="n"/>
      <c r="M30" s="95" t="n"/>
    </row>
    <row r="31" ht="18" customHeight="1" s="74">
      <c r="A31" s="300" t="inlineStr">
        <is>
          <t>Pre-Tax Cost of Debt  (Kd)</t>
        </is>
      </c>
      <c r="B31" s="153" t="n"/>
      <c r="C31" s="142" t="n"/>
      <c r="D31" s="143" t="n"/>
      <c r="E31" s="111" t="n"/>
      <c r="F31" s="111" t="n"/>
      <c r="G31" s="111" t="n"/>
      <c r="H31" s="111" t="n"/>
      <c r="I31" s="111" t="n"/>
      <c r="J31" s="111" t="n"/>
      <c r="K31" s="111" t="n"/>
      <c r="L31" s="111" t="n"/>
      <c r="M31" s="111" t="n"/>
    </row>
    <row r="32" ht="18" customHeight="1" s="74">
      <c r="A32" s="300" t="inlineStr">
        <is>
          <t>Marginal Tax Rate</t>
        </is>
      </c>
      <c r="B32" s="153" t="n"/>
      <c r="C32" s="142" t="n"/>
      <c r="D32" s="143" t="n"/>
      <c r="E32" s="111" t="n"/>
      <c r="F32" s="111" t="n"/>
      <c r="G32" s="111" t="n"/>
      <c r="H32" s="111" t="n"/>
      <c r="I32" s="111" t="n"/>
      <c r="J32" s="111" t="n"/>
      <c r="K32" s="111" t="n"/>
      <c r="L32" s="111" t="n"/>
      <c r="M32" s="111" t="n"/>
    </row>
    <row r="33" ht="18" customHeight="1" s="74">
      <c r="A33" s="371" t="inlineStr">
        <is>
          <t>After-Tax Cost of Debt</t>
        </is>
      </c>
      <c r="B33" s="376" t="n"/>
      <c r="C33" s="373" t="n"/>
      <c r="D33" s="374" t="n"/>
      <c r="E33" s="375" t="n"/>
      <c r="F33" s="375" t="n"/>
      <c r="G33" s="375" t="n"/>
      <c r="H33" s="375" t="n"/>
      <c r="I33" s="375" t="n"/>
      <c r="J33" s="375" t="n"/>
      <c r="K33" s="375" t="n"/>
      <c r="L33" s="375" t="n"/>
      <c r="M33" s="375" t="n"/>
    </row>
    <row r="34" ht="8" customHeight="1" s="74">
      <c r="A34" s="95" t="n"/>
      <c r="B34" s="95" t="n"/>
      <c r="C34" s="95" t="n"/>
      <c r="D34" s="95" t="n"/>
      <c r="E34" s="95" t="n"/>
      <c r="F34" s="95" t="n"/>
      <c r="G34" s="95" t="n"/>
      <c r="H34" s="95" t="n"/>
      <c r="I34" s="95" t="n"/>
      <c r="J34" s="95" t="n"/>
      <c r="K34" s="95" t="n"/>
      <c r="L34" s="95" t="n"/>
      <c r="M34" s="95" t="n"/>
    </row>
    <row r="35" ht="18" customHeight="1" s="74">
      <c r="A35" s="297" t="inlineStr">
        <is>
          <t>Debt / Total Capital  (market weights)</t>
        </is>
      </c>
      <c r="B35" s="148" t="n"/>
      <c r="C35" s="138" t="n"/>
      <c r="D35" s="139" t="n"/>
      <c r="E35" s="106" t="n"/>
      <c r="F35" s="106" t="n"/>
      <c r="G35" s="106" t="n"/>
      <c r="H35" s="106" t="n"/>
      <c r="I35" s="106" t="n"/>
      <c r="J35" s="106" t="n"/>
      <c r="K35" s="106" t="n"/>
      <c r="L35" s="106" t="n"/>
      <c r="M35" s="106" t="n"/>
    </row>
    <row r="36" ht="18" customHeight="1" s="74">
      <c r="A36" s="371" t="inlineStr">
        <is>
          <t>Equity / Total Capital</t>
        </is>
      </c>
      <c r="B36" s="376" t="n"/>
      <c r="C36" s="373" t="n"/>
      <c r="D36" s="374" t="n"/>
      <c r="E36" s="375" t="n"/>
      <c r="F36" s="375" t="n"/>
      <c r="G36" s="375" t="n"/>
      <c r="H36" s="375" t="n"/>
      <c r="I36" s="375" t="n"/>
      <c r="J36" s="375" t="n"/>
      <c r="K36" s="375" t="n"/>
      <c r="L36" s="375" t="n"/>
      <c r="M36" s="375" t="n"/>
    </row>
    <row r="37" ht="18" customHeight="1" s="74">
      <c r="A37" s="371" t="inlineStr">
        <is>
          <t>WACC</t>
        </is>
      </c>
      <c r="B37" s="376" t="n"/>
      <c r="C37" s="373" t="n"/>
      <c r="D37" s="374" t="n"/>
      <c r="E37" s="375" t="n"/>
      <c r="F37" s="375" t="n"/>
      <c r="G37" s="375" t="n"/>
      <c r="H37" s="375" t="n"/>
      <c r="I37" s="375" t="n"/>
      <c r="J37" s="375" t="n"/>
      <c r="K37" s="375" t="n"/>
      <c r="L37" s="375" t="n"/>
      <c r="M37" s="375" t="n"/>
    </row>
    <row r="38" ht="8" customHeight="1" s="74">
      <c r="A38" s="95" t="n"/>
      <c r="B38" s="95" t="n"/>
      <c r="C38" s="95" t="n"/>
      <c r="D38" s="95" t="n"/>
      <c r="E38" s="95" t="n"/>
      <c r="F38" s="95" t="n"/>
      <c r="G38" s="95" t="n"/>
      <c r="H38" s="95" t="n"/>
      <c r="I38" s="95" t="n"/>
      <c r="J38" s="95" t="n"/>
      <c r="K38" s="95" t="n"/>
      <c r="L38" s="95" t="n"/>
      <c r="M38" s="95" t="n"/>
    </row>
    <row r="39" ht="22" customHeight="1" s="74">
      <c r="A39" s="296" t="inlineStr">
        <is>
          <t>C — HISTORICAL SHARE PRICES  (fiscal year-end)</t>
        </is>
      </c>
      <c r="B39" s="490" t="n"/>
      <c r="C39" s="490" t="n"/>
      <c r="D39" s="490" t="n"/>
      <c r="E39" s="490" t="n"/>
      <c r="F39" s="490" t="n"/>
      <c r="G39" s="490" t="n"/>
      <c r="H39" s="490" t="n"/>
      <c r="I39" s="490" t="n"/>
      <c r="J39" s="490" t="n"/>
      <c r="K39" s="490" t="n"/>
      <c r="L39" s="490" t="n"/>
      <c r="M39" s="490" t="n"/>
    </row>
    <row r="40" ht="18" customHeight="1" s="74">
      <c r="A40" s="306" t="inlineStr">
        <is>
          <t>Fiscal Year</t>
        </is>
      </c>
      <c r="B40" s="457" t="inlineStr">
        <is>
          <t>2015</t>
        </is>
      </c>
      <c r="C40" s="457" t="inlineStr">
        <is>
          <t>2016</t>
        </is>
      </c>
      <c r="D40" s="457" t="inlineStr">
        <is>
          <t>2017</t>
        </is>
      </c>
      <c r="E40" s="457" t="inlineStr">
        <is>
          <t>2018</t>
        </is>
      </c>
      <c r="F40" s="457" t="inlineStr">
        <is>
          <t>2019</t>
        </is>
      </c>
      <c r="G40" s="457" t="inlineStr">
        <is>
          <t>2020</t>
        </is>
      </c>
      <c r="H40" s="457" t="inlineStr">
        <is>
          <t>2021</t>
        </is>
      </c>
      <c r="I40" s="457" t="inlineStr">
        <is>
          <t>2022</t>
        </is>
      </c>
      <c r="J40" s="457" t="inlineStr">
        <is>
          <t>2023</t>
        </is>
      </c>
      <c r="K40" s="457" t="inlineStr">
        <is>
          <t>2024</t>
        </is>
      </c>
      <c r="L40" s="457" t="inlineStr">
        <is>
          <t>2025</t>
        </is>
      </c>
      <c r="M40" s="125" t="n"/>
    </row>
    <row r="41" ht="18" customHeight="1" s="74">
      <c r="A41" s="297" t="inlineStr">
        <is>
          <t>End-of-Year Price  ($)</t>
        </is>
      </c>
      <c r="B41" s="458" t="n">
        <v>675.89</v>
      </c>
      <c r="C41" s="458" t="n">
        <v>749.87</v>
      </c>
      <c r="D41" s="458" t="n">
        <v>1169.47</v>
      </c>
      <c r="E41" s="458" t="n">
        <v>1501.97</v>
      </c>
      <c r="F41" s="458" t="n">
        <v>1847.84</v>
      </c>
      <c r="G41" s="458" t="n">
        <v>3256.93</v>
      </c>
      <c r="H41" s="458" t="n">
        <v>3334.34</v>
      </c>
      <c r="I41" s="458" t="n">
        <v>84</v>
      </c>
      <c r="J41" s="458" t="n">
        <v>151.94</v>
      </c>
      <c r="K41" s="458" t="n">
        <v>219.39</v>
      </c>
      <c r="L41" s="458" t="n">
        <v>230.82</v>
      </c>
      <c r="M41" s="106" t="n"/>
    </row>
    <row r="42" ht="14" customHeight="1" s="74">
      <c r="A42" s="307" t="inlineStr">
        <is>
          <t>Source: Yahoo Finance (historical prices) → select fiscal year-end closing price</t>
        </is>
      </c>
      <c r="B42" s="95" t="n"/>
      <c r="C42" s="95" t="n"/>
      <c r="D42" s="95" t="n"/>
      <c r="E42" s="95" t="n"/>
      <c r="F42" s="95" t="n"/>
      <c r="G42" s="95" t="n"/>
      <c r="H42" s="95" t="n"/>
      <c r="I42" s="95" t="n"/>
      <c r="J42" s="95" t="n"/>
      <c r="K42" s="95" t="n"/>
      <c r="L42" s="95" t="n"/>
      <c r="M42" s="95" t="n"/>
    </row>
    <row r="43" ht="8" customHeight="1" s="74">
      <c r="A43" s="95" t="n"/>
      <c r="B43" s="95" t="n"/>
      <c r="C43" s="95" t="n"/>
      <c r="D43" s="95" t="n"/>
      <c r="E43" s="95" t="n"/>
      <c r="F43" s="95" t="n"/>
      <c r="G43" s="95" t="n"/>
      <c r="H43" s="95" t="n"/>
      <c r="I43" s="95" t="n"/>
      <c r="J43" s="95" t="n"/>
      <c r="K43" s="95" t="n"/>
      <c r="L43" s="95" t="n"/>
      <c r="M43" s="95" t="n"/>
    </row>
    <row r="44" ht="22" customHeight="1" s="74">
      <c r="A44" s="296" t="inlineStr">
        <is>
          <t>D — PEER VALUATION MULTIPLES  (market-sourced)</t>
        </is>
      </c>
      <c r="B44" s="490" t="n"/>
      <c r="C44" s="490" t="n"/>
      <c r="D44" s="490" t="n"/>
      <c r="E44" s="490" t="n"/>
      <c r="F44" s="490" t="n"/>
      <c r="G44" s="490" t="n"/>
      <c r="H44" s="490" t="n"/>
      <c r="I44" s="490" t="n"/>
      <c r="J44" s="490" t="n"/>
      <c r="K44" s="490" t="n"/>
      <c r="L44" s="490" t="n"/>
      <c r="M44" s="490" t="n"/>
    </row>
    <row r="45" ht="18" customHeight="1" s="74">
      <c r="A45" s="306" t="inlineStr">
        <is>
          <t>Metric</t>
        </is>
      </c>
      <c r="B45" s="193" t="n"/>
      <c r="C45" s="193" t="n"/>
      <c r="D45" s="193" t="n"/>
      <c r="E45" s="193" t="n"/>
      <c r="F45" s="125" t="n"/>
      <c r="G45" s="125" t="n"/>
      <c r="H45" s="125" t="n"/>
      <c r="I45" s="125" t="n"/>
      <c r="J45" s="125" t="n"/>
      <c r="K45" s="125" t="n"/>
      <c r="L45" s="125" t="n"/>
      <c r="M45" s="125" t="n"/>
    </row>
    <row r="46" ht="18" customHeight="1" s="74">
      <c r="A46" s="297" t="inlineStr">
        <is>
          <t>EV / EBITDA  (×)</t>
        </is>
      </c>
      <c r="B46" s="459" t="n">
        <v>22.43</v>
      </c>
      <c r="C46" s="459" t="n">
        <v>18.53</v>
      </c>
      <c r="D46" s="459" t="n">
        <v>29.97</v>
      </c>
      <c r="E46" s="158" t="n"/>
      <c r="F46" s="106" t="n"/>
      <c r="G46" s="106" t="n"/>
      <c r="H46" s="106" t="n"/>
      <c r="I46" s="106" t="n"/>
      <c r="J46" s="106" t="n"/>
      <c r="K46" s="106" t="n"/>
      <c r="L46" s="106" t="n"/>
      <c r="M46" s="106" t="n"/>
    </row>
    <row r="47" ht="18" customHeight="1" s="74">
      <c r="A47" s="297" t="inlineStr">
        <is>
          <t>P / E  (×)</t>
        </is>
      </c>
      <c r="B47" s="459" t="n">
        <v>46.85</v>
      </c>
      <c r="C47" s="459" t="n">
        <v>27.11</v>
      </c>
      <c r="D47" s="459" t="n">
        <v>34.65</v>
      </c>
      <c r="E47" s="158" t="n"/>
      <c r="F47" s="106" t="n"/>
      <c r="G47" s="106" t="n"/>
      <c r="H47" s="106" t="n"/>
      <c r="I47" s="106" t="n"/>
      <c r="J47" s="106" t="n"/>
      <c r="K47" s="106" t="n"/>
      <c r="L47" s="106" t="n"/>
      <c r="M47" s="106" t="n"/>
    </row>
    <row r="48" ht="18" customHeight="1" s="74">
      <c r="A48" s="297" t="inlineStr">
        <is>
          <t>FCF Yield  (%)</t>
        </is>
      </c>
      <c r="B48" s="459" t="n">
        <v>1.4</v>
      </c>
      <c r="C48" s="459" t="n">
        <v>1.8</v>
      </c>
      <c r="D48" s="459" t="n">
        <v>1.6</v>
      </c>
      <c r="E48" s="158" t="n"/>
      <c r="F48" s="106" t="n"/>
      <c r="G48" s="106" t="n"/>
      <c r="H48" s="106" t="n"/>
      <c r="I48" s="106" t="n"/>
      <c r="J48" s="106" t="n"/>
      <c r="K48" s="106" t="n"/>
      <c r="L48" s="106" t="n"/>
      <c r="M48" s="106" t="n"/>
    </row>
    <row r="49" ht="8" customHeight="1" s="74">
      <c r="A49" s="95" t="n"/>
      <c r="B49" s="95" t="n"/>
      <c r="C49" s="95" t="n"/>
      <c r="D49" s="95" t="n"/>
      <c r="E49" s="95" t="n"/>
      <c r="F49" s="95" t="n"/>
      <c r="G49" s="95" t="n"/>
      <c r="H49" s="95" t="n"/>
      <c r="I49" s="95" t="n"/>
      <c r="J49" s="95" t="n"/>
      <c r="K49" s="95" t="n"/>
      <c r="L49" s="95" t="n"/>
      <c r="M49" s="95" t="n"/>
    </row>
    <row r="50">
      <c r="A50" s="308" t="inlineStr">
        <is>
          <t>Beta (Unlevered / Asset)</t>
        </is>
      </c>
      <c r="B50" s="308">
        <f>IFERROR(B26/(1+(1-B32)*(B35/B36)),"-")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FF990013"/>
    <outlinePr summaryBelow="1" summaryRight="1"/>
    <pageSetUpPr/>
  </sheetPr>
  <dimension ref="A1:AC90"/>
  <sheetViews>
    <sheetView showGridLines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4" customWidth="1" style="74" min="1" max="1"/>
    <col width="12" customWidth="1" style="74" min="2" max="2"/>
    <col width="12" customWidth="1" style="74" min="3" max="3"/>
    <col width="12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12" customWidth="1" style="74" min="13" max="13"/>
    <col width="13" customWidth="1" style="74" min="14" max="14"/>
    <col width="13" customWidth="1" style="74" min="15" max="15"/>
    <col width="13" customWidth="1" style="74" min="16" max="16"/>
    <col width="13" customWidth="1" style="74" min="17" max="17"/>
    <col width="13" customWidth="1" style="74" min="18" max="18"/>
    <col width="13" customWidth="1" style="74" min="19" max="19"/>
    <col width="13" customWidth="1" style="74" min="20" max="20"/>
    <col width="13" customWidth="1" style="74" min="21" max="21"/>
    <col width="13" customWidth="1" style="74" min="22" max="22"/>
    <col width="13" customWidth="1" style="74" min="23" max="23"/>
    <col width="13" customWidth="1" style="74" min="24" max="24"/>
    <col width="13" customWidth="1" style="74" min="25" max="25"/>
    <col width="13" customWidth="1" style="74" min="26" max="26"/>
    <col width="13" customWidth="1" style="74" min="27" max="27"/>
    <col width="13" customWidth="1" style="74" min="28" max="28"/>
    <col width="13" customWidth="1" style="74" min="29" max="29"/>
  </cols>
  <sheetData>
    <row r="1" ht="57.75" customHeight="1" s="74">
      <c r="A1" s="1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N1" s="2" t="n"/>
      <c r="O1" s="2" t="n"/>
      <c r="P1" s="2" t="n"/>
      <c r="Q1" s="2" t="n"/>
      <c r="R1" s="2" t="n"/>
      <c r="S1" s="2" t="n"/>
      <c r="T1" s="2" t="n"/>
      <c r="U1" s="2" t="n"/>
    </row>
    <row r="2" ht="17" customHeight="1" s="74">
      <c r="A2" s="291" t="inlineStr">
        <is>
          <t>Colour key:</t>
        </is>
      </c>
    </row>
    <row r="3" ht="15" customHeight="1" s="74">
      <c r="A3" s="17" t="inlineStr">
        <is>
          <t>Ticker</t>
        </is>
      </c>
      <c r="B3" s="377" t="inlineStr">
        <is>
          <t>AMZN</t>
        </is>
      </c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N3" s="2" t="n"/>
      <c r="O3" s="2" t="n"/>
      <c r="P3" s="2" t="n"/>
      <c r="Q3" s="2" t="n"/>
      <c r="R3" s="2" t="n"/>
      <c r="S3" s="2" t="n"/>
      <c r="T3" s="2" t="n"/>
      <c r="U3" s="2" t="n"/>
    </row>
    <row r="4" ht="15" customHeight="1" s="74">
      <c r="A4" s="15" t="inlineStr">
        <is>
          <t>Company Name</t>
        </is>
      </c>
      <c r="B4" s="378" t="inlineStr">
        <is>
          <t>Amazon.com, Inc.</t>
        </is>
      </c>
      <c r="C4" s="10" t="n"/>
      <c r="D4" s="10" t="n"/>
      <c r="E4" s="10" t="n"/>
      <c r="F4" s="10" t="n"/>
      <c r="G4" s="10" t="n"/>
      <c r="H4" s="10" t="n"/>
      <c r="I4" s="10" t="n"/>
      <c r="J4" s="10" t="n"/>
      <c r="K4" s="10" t="n"/>
      <c r="L4" s="10" t="n"/>
      <c r="N4" s="10" t="n"/>
      <c r="O4" s="10" t="n"/>
      <c r="P4" s="10" t="n"/>
      <c r="Q4" s="10" t="n"/>
      <c r="R4" s="10" t="n"/>
      <c r="S4" s="10" t="n"/>
      <c r="T4" s="10" t="n"/>
      <c r="U4" s="10" t="n"/>
    </row>
    <row r="5" ht="15" customHeight="1" s="74">
      <c r="A5" s="17" t="inlineStr">
        <is>
          <t>Sector / Industry</t>
        </is>
      </c>
      <c r="B5" s="377" t="inlineStr">
        <is>
          <t>Consumer Discretionary</t>
        </is>
      </c>
      <c r="C5" s="2" t="n"/>
      <c r="D5" s="2" t="n"/>
      <c r="E5" s="2" t="n"/>
      <c r="F5" s="2" t="n"/>
      <c r="G5" s="2" t="n"/>
      <c r="H5" s="2" t="n"/>
      <c r="I5" s="2" t="n"/>
      <c r="J5" s="2" t="n"/>
      <c r="K5" s="2" t="n"/>
      <c r="L5" s="2" t="n"/>
      <c r="N5" s="2" t="n"/>
      <c r="O5" s="2" t="n"/>
      <c r="P5" s="2" t="n"/>
      <c r="Q5" s="2" t="n"/>
      <c r="R5" s="2" t="n"/>
      <c r="S5" s="2" t="n"/>
      <c r="T5" s="2" t="n"/>
      <c r="U5" s="2" t="n"/>
    </row>
    <row r="6" ht="15" customHeight="1" s="74">
      <c r="A6" s="15" t="inlineStr">
        <is>
          <t>Fiscal Year End</t>
        </is>
      </c>
      <c r="B6" s="378" t="inlineStr">
        <is>
          <t>December 31</t>
        </is>
      </c>
      <c r="C6" s="10" t="n"/>
      <c r="D6" s="10" t="n"/>
      <c r="E6" s="10" t="n"/>
      <c r="F6" s="10" t="n"/>
      <c r="G6" s="10" t="n"/>
      <c r="H6" s="10" t="n"/>
      <c r="I6" s="10" t="n"/>
      <c r="J6" s="10" t="n"/>
      <c r="K6" s="10" t="n"/>
      <c r="L6" s="10" t="n"/>
      <c r="M6" s="308" t="n">
        <v>1.45</v>
      </c>
      <c r="N6" s="10" t="n"/>
      <c r="O6" s="10" t="n"/>
      <c r="P6" s="10" t="n"/>
      <c r="Q6" s="10" t="n"/>
      <c r="R6" s="10" t="n"/>
      <c r="S6" s="10" t="n"/>
      <c r="T6" s="10" t="n"/>
      <c r="U6" s="10" t="n"/>
    </row>
    <row r="7" ht="15" customHeight="1" s="74">
      <c r="A7" s="17" t="inlineStr">
        <is>
          <t>Currency</t>
        </is>
      </c>
      <c r="B7" s="377" t="inlineStr">
        <is>
          <t>USD</t>
        </is>
      </c>
      <c r="C7" s="2" t="n"/>
      <c r="D7" s="2" t="n"/>
      <c r="E7" s="2" t="n"/>
      <c r="F7" s="2" t="n"/>
      <c r="G7" s="2" t="n"/>
      <c r="H7" s="2" t="n"/>
      <c r="I7" s="2" t="n"/>
      <c r="J7" s="2" t="n"/>
      <c r="K7" s="2" t="n"/>
      <c r="L7" s="2" t="n"/>
      <c r="N7" s="2" t="n"/>
      <c r="O7" s="2" t="n"/>
      <c r="P7" s="2" t="n"/>
      <c r="Q7" s="2" t="n"/>
      <c r="R7" s="2" t="n"/>
      <c r="S7" s="2" t="n"/>
      <c r="T7" s="2" t="n"/>
      <c r="U7" s="2" t="n"/>
    </row>
    <row r="8" ht="15" customHeight="1" s="74">
      <c r="A8" s="15" t="inlineStr">
        <is>
          <t>Current Share Price</t>
        </is>
      </c>
      <c r="B8" s="378" t="n">
        <v>284.02</v>
      </c>
      <c r="C8" s="10" t="n"/>
      <c r="D8" s="10" t="n"/>
      <c r="E8" s="10" t="n"/>
      <c r="F8" s="10" t="n"/>
      <c r="G8" s="10" t="n"/>
      <c r="H8" s="10" t="n"/>
      <c r="I8" s="10" t="n"/>
      <c r="J8" s="10" t="n"/>
      <c r="K8" s="10" t="n"/>
      <c r="L8" s="10" t="n"/>
      <c r="M8" s="308" t="n">
        <v>3062547</v>
      </c>
      <c r="N8" s="10" t="n"/>
      <c r="O8" s="10" t="n"/>
      <c r="P8" s="10" t="n"/>
      <c r="Q8" s="10" t="n"/>
      <c r="R8" s="10" t="n"/>
      <c r="S8" s="10" t="n"/>
      <c r="T8" s="10" t="n"/>
      <c r="U8" s="10" t="n"/>
    </row>
    <row r="9" ht="15" customHeight="1" s="74">
      <c r="A9" s="17" t="inlineStr">
        <is>
          <t>Report Date</t>
        </is>
      </c>
      <c r="B9" s="377" t="inlineStr">
        <is>
          <t>2026-08-04</t>
        </is>
      </c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N9" s="2" t="n"/>
      <c r="O9" s="2" t="n"/>
      <c r="P9" s="2" t="n"/>
      <c r="Q9" s="2" t="n"/>
      <c r="R9" s="2" t="n"/>
      <c r="S9" s="2" t="n"/>
      <c r="T9" s="2" t="n"/>
      <c r="U9" s="2" t="n"/>
    </row>
    <row r="10" ht="15" customHeight="1" s="74">
      <c r="A10" s="15" t="inlineStr">
        <is>
          <t>Source (10-K filing date)</t>
        </is>
      </c>
      <c r="B10" s="378" t="n"/>
      <c r="C10" s="10" t="n"/>
      <c r="D10" s="10" t="n"/>
      <c r="E10" s="10" t="n"/>
      <c r="F10" s="10" t="n"/>
      <c r="G10" s="10" t="n"/>
      <c r="H10" s="10" t="n"/>
      <c r="I10" s="10" t="n"/>
      <c r="J10" s="10" t="n"/>
      <c r="K10" s="10" t="n"/>
      <c r="L10" s="10" t="n"/>
      <c r="N10" s="10" t="n"/>
      <c r="O10" s="10" t="n"/>
      <c r="P10" s="10" t="n"/>
      <c r="Q10" s="10" t="n"/>
      <c r="R10" s="10" t="n"/>
      <c r="S10" s="10" t="n"/>
      <c r="T10" s="10" t="n"/>
      <c r="U10" s="10" t="n"/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  <c r="I11" s="2" t="n"/>
      <c r="J11" s="2" t="n"/>
      <c r="K11" s="2" t="n"/>
      <c r="L11" s="2" t="n"/>
      <c r="N11" s="2" t="n"/>
      <c r="O11" s="2" t="n"/>
      <c r="P11" s="2" t="n"/>
      <c r="Q11" s="2" t="n"/>
      <c r="R11" s="2" t="n"/>
      <c r="S11" s="2" t="n"/>
      <c r="T11" s="2" t="n"/>
      <c r="U11" s="2" t="n"/>
    </row>
    <row r="12" ht="15" customHeight="1" s="74">
      <c r="A12" s="30" t="inlineStr">
        <is>
          <t>INCOME STATEMENT ($M)</t>
        </is>
      </c>
    </row>
    <row r="13" ht="28" customHeight="1" s="74">
      <c r="A13" s="14" t="n"/>
      <c r="B13" s="14" t="inlineStr">
        <is>
          <t>2015</t>
        </is>
      </c>
      <c r="C13" s="14" t="inlineStr">
        <is>
          <t>2016</t>
        </is>
      </c>
      <c r="D13" s="14" t="inlineStr">
        <is>
          <t>2017</t>
        </is>
      </c>
      <c r="E13" s="14" t="inlineStr">
        <is>
          <t>2018</t>
        </is>
      </c>
      <c r="F13" s="14" t="inlineStr">
        <is>
          <t>2019</t>
        </is>
      </c>
      <c r="G13" s="14" t="inlineStr">
        <is>
          <t>2020</t>
        </is>
      </c>
      <c r="H13" s="14" t="inlineStr">
        <is>
          <t>2021</t>
        </is>
      </c>
      <c r="I13" s="14" t="inlineStr">
        <is>
          <t>2022</t>
        </is>
      </c>
      <c r="J13" s="14" t="inlineStr">
        <is>
          <t>2023</t>
        </is>
      </c>
      <c r="K13" s="14" t="inlineStr">
        <is>
          <t>2024</t>
        </is>
      </c>
      <c r="L13" s="14" t="inlineStr">
        <is>
          <t>2025</t>
        </is>
      </c>
      <c r="N13" s="14" t="inlineStr">
        <is>
          <t>Year -2
Q1</t>
        </is>
      </c>
      <c r="O13" s="14" t="inlineStr">
        <is>
          <t>Year -2
Q2</t>
        </is>
      </c>
      <c r="P13" s="14" t="inlineStr">
        <is>
          <t>Year -2
Q3</t>
        </is>
      </c>
      <c r="Q13" s="14" t="inlineStr">
        <is>
          <t>Year -2
Q4</t>
        </is>
      </c>
      <c r="R13" s="14" t="inlineStr">
        <is>
          <t>Year -1
Q1</t>
        </is>
      </c>
      <c r="S13" s="14" t="inlineStr">
        <is>
          <t>Year -1
Q2</t>
        </is>
      </c>
      <c r="T13" s="14" t="inlineStr">
        <is>
          <t>Year -1
Q3</t>
        </is>
      </c>
      <c r="U13" s="14" t="inlineStr">
        <is>
          <t>Year -1
Q4</t>
        </is>
      </c>
      <c r="V13" s="14" t="inlineStr">
        <is>
          <t>Current Year
Q1</t>
        </is>
      </c>
      <c r="W13" s="14" t="inlineStr">
        <is>
          <t>Current Year
Q2</t>
        </is>
      </c>
      <c r="X13" s="14" t="inlineStr">
        <is>
          <t>Current Year
Q3</t>
        </is>
      </c>
      <c r="Y13" s="14" t="inlineStr">
        <is>
          <t>Current Year
Q4</t>
        </is>
      </c>
      <c r="Z13" s="435" t="n"/>
      <c r="AA13" s="435" t="n"/>
      <c r="AB13" s="435" t="n"/>
      <c r="AC13" s="435" t="n"/>
    </row>
    <row r="14" ht="15" customHeight="1" s="74">
      <c r="A14" s="15" t="inlineStr">
        <is>
          <t>Revenue</t>
        </is>
      </c>
      <c r="B14" s="379" t="n"/>
      <c r="C14" s="379" t="n">
        <v>135987</v>
      </c>
      <c r="D14" s="379" t="n">
        <v>177866</v>
      </c>
      <c r="E14" s="379" t="n">
        <v>232887</v>
      </c>
      <c r="F14" s="379" t="n">
        <v>280522</v>
      </c>
      <c r="G14" s="379" t="n">
        <v>386064</v>
      </c>
      <c r="H14" s="379" t="n">
        <v>469822</v>
      </c>
      <c r="I14" s="379" t="n">
        <v>513983</v>
      </c>
      <c r="J14" s="379" t="n">
        <v>574785</v>
      </c>
      <c r="K14" s="379" t="n">
        <v>637959</v>
      </c>
      <c r="L14" s="379" t="n">
        <v>716924</v>
      </c>
      <c r="N14" s="380" t="n">
        <v>143313</v>
      </c>
      <c r="O14" s="380" t="n">
        <v>147977</v>
      </c>
      <c r="P14" s="380" t="n">
        <v>158877</v>
      </c>
      <c r="Q14" s="380" t="n">
        <v>187792</v>
      </c>
      <c r="R14" s="380" t="n">
        <v>155667</v>
      </c>
      <c r="S14" s="380" t="n">
        <v>167702</v>
      </c>
      <c r="T14" s="380" t="n">
        <v>180169</v>
      </c>
      <c r="U14" s="380" t="n">
        <v>213386</v>
      </c>
      <c r="V14" s="381" t="n">
        <v>181519</v>
      </c>
      <c r="W14" s="381" t="n">
        <v>200606</v>
      </c>
      <c r="X14" s="460" t="n"/>
      <c r="Y14" s="460" t="n"/>
    </row>
    <row r="15" ht="15" customHeight="1" s="74">
      <c r="A15" s="17" t="inlineStr">
        <is>
          <t>Cost of Goods Sold</t>
        </is>
      </c>
      <c r="B15" s="382" t="n"/>
      <c r="C15" s="382" t="n">
        <v>88265</v>
      </c>
      <c r="D15" s="382" t="n">
        <v>111934</v>
      </c>
      <c r="E15" s="382" t="n">
        <v>139156</v>
      </c>
      <c r="F15" s="382" t="n">
        <v>165536</v>
      </c>
      <c r="G15" s="382" t="n">
        <v>233307</v>
      </c>
      <c r="H15" s="382" t="n">
        <v>272344</v>
      </c>
      <c r="I15" s="382" t="n">
        <v>288831</v>
      </c>
      <c r="J15" s="382" t="n">
        <v>304739</v>
      </c>
      <c r="K15" s="382" t="n">
        <v>326288</v>
      </c>
      <c r="L15" s="382" t="n">
        <v>356414</v>
      </c>
      <c r="N15" s="383" t="n">
        <v>72633</v>
      </c>
      <c r="O15" s="383" t="n">
        <v>73785</v>
      </c>
      <c r="P15" s="383" t="n">
        <v>80977</v>
      </c>
      <c r="Q15" s="383" t="n">
        <v>98893</v>
      </c>
      <c r="R15" s="383" t="n">
        <v>76976</v>
      </c>
      <c r="S15" s="383" t="n">
        <v>80809</v>
      </c>
      <c r="T15" s="383" t="n">
        <v>88670</v>
      </c>
      <c r="U15" s="383" t="n">
        <v>109959</v>
      </c>
      <c r="V15" s="384" t="n">
        <v>87463</v>
      </c>
      <c r="W15" s="384" t="n">
        <v>95778</v>
      </c>
      <c r="X15" s="460" t="n"/>
      <c r="Y15" s="460" t="n"/>
    </row>
    <row r="16" ht="15" customHeight="1" s="74">
      <c r="A16" s="15" t="inlineStr">
        <is>
          <t>Gross Profit</t>
        </is>
      </c>
      <c r="B16" s="385" t="n"/>
      <c r="C16" s="385">
        <f>IFERROR(IF(OR(NOT(ISNUMBER(Data!C14)),NOT(ISNUMBER(Data!C15))),"-",Data!C14-Data!C15),"-")</f>
        <v/>
      </c>
      <c r="D16" s="385">
        <f>IFERROR(IF(OR(NOT(ISNUMBER(Data!D14)),NOT(ISNUMBER(Data!D15))),"-",Data!D14-Data!D15),"-")</f>
        <v/>
      </c>
      <c r="E16" s="385">
        <f>IFERROR(IF(OR(NOT(ISNUMBER(Data!E14)),NOT(ISNUMBER(Data!E15))),"-",Data!E14-Data!E15),"-")</f>
        <v/>
      </c>
      <c r="F16" s="385">
        <f>IFERROR(IF(OR(NOT(ISNUMBER(Data!F14)),NOT(ISNUMBER(Data!F15))),"-",Data!F14-Data!F15),"-")</f>
        <v/>
      </c>
      <c r="G16" s="385">
        <f>IFERROR(IF(OR(NOT(ISNUMBER(Data!G14)),NOT(ISNUMBER(Data!G15))),"-",Data!G14-Data!G15),"-")</f>
        <v/>
      </c>
      <c r="H16" s="385">
        <f>IFERROR(IF(OR(NOT(ISNUMBER(Data!H14)),NOT(ISNUMBER(Data!H15))),"-",Data!H14-Data!H15),"-")</f>
        <v/>
      </c>
      <c r="I16" s="385">
        <f>IFERROR(IF(OR(NOT(ISNUMBER(Data!I14)),NOT(ISNUMBER(Data!I15))),"-",Data!I14-Data!I15),"-")</f>
        <v/>
      </c>
      <c r="J16" s="385">
        <f>IFERROR(IF(OR(NOT(ISNUMBER(Data!J14)),NOT(ISNUMBER(Data!J15))),"-",Data!J14-Data!J15),"-")</f>
        <v/>
      </c>
      <c r="K16" s="385">
        <f>IFERROR(IF(OR(NOT(ISNUMBER(Data!K14)),NOT(ISNUMBER(Data!K15))),"-",Data!K14-Data!K15),"-")</f>
        <v/>
      </c>
      <c r="L16" s="385">
        <f>IFERROR(IF(OR(NOT(ISNUMBER(Data!L14)),NOT(ISNUMBER(Data!L15))),"-",Data!L14-Data!L15),"-")</f>
        <v/>
      </c>
      <c r="N16" s="386">
        <f>IFERROR(IF(OR(NOT(ISNUMBER(Data!N14)),NOT(ISNUMBER(Data!N15))),"-",Data!N14-Data!N15),"-")</f>
        <v/>
      </c>
      <c r="O16" s="386">
        <f>IFERROR(IF(OR(NOT(ISNUMBER(Data!O14)),NOT(ISNUMBER(Data!O15))),"-",Data!O14-Data!O15),"-")</f>
        <v/>
      </c>
      <c r="P16" s="386">
        <f>IFERROR(IF(OR(NOT(ISNUMBER(Data!P14)),NOT(ISNUMBER(Data!P15))),"-",Data!P14-Data!P15),"-")</f>
        <v/>
      </c>
      <c r="Q16" s="386">
        <f>IFERROR(IF(OR(NOT(ISNUMBER(Data!Q14)),NOT(ISNUMBER(Data!Q15))),"-",Data!Q14-Data!Q15),"-")</f>
        <v/>
      </c>
      <c r="R16" s="386">
        <f>IFERROR(IF(OR(NOT(ISNUMBER(Data!R14)),NOT(ISNUMBER(Data!R15))),"-",Data!R14-Data!R15),"-")</f>
        <v/>
      </c>
      <c r="S16" s="386">
        <f>IFERROR(IF(OR(NOT(ISNUMBER(Data!S14)),NOT(ISNUMBER(Data!S15))),"-",Data!S14-Data!S15),"-")</f>
        <v/>
      </c>
      <c r="T16" s="386">
        <f>IFERROR(IF(OR(NOT(ISNUMBER(Data!T14)),NOT(ISNUMBER(Data!T15))),"-",Data!T14-Data!T15),"-")</f>
        <v/>
      </c>
      <c r="U16" s="386">
        <f>IFERROR(IF(OR(NOT(ISNUMBER(Data!U14)),NOT(ISNUMBER(Data!U15))),"-",Data!U14-Data!U15),"-")</f>
        <v/>
      </c>
      <c r="V16" s="387">
        <f>IFERROR(IF(OR(NOT(ISNUMBER(Data!V14)),NOT(ISNUMBER(Data!V15))),"-",Data!V14-Data!V15),"-")</f>
        <v/>
      </c>
      <c r="W16" s="387">
        <f>IFERROR(IF(OR(NOT(ISNUMBER(Data!W14)),NOT(ISNUMBER(Data!W15))),"-",Data!W14-Data!W15),"-")</f>
        <v/>
      </c>
      <c r="X16" s="461">
        <f>IFERROR(IF(OR(NOT(ISNUMBER(Data!X14)),NOT(ISNUMBER(Data!X15))),"-",Data!X14-Data!X15),"-")</f>
        <v/>
      </c>
      <c r="Y16" s="461">
        <f>IFERROR(IF(OR(NOT(ISNUMBER(Data!Y14)),NOT(ISNUMBER(Data!Y15))),"-",Data!Y14-Data!Y15),"-")</f>
        <v/>
      </c>
    </row>
    <row r="17" ht="15" customHeight="1" s="74">
      <c r="A17" s="17" t="inlineStr">
        <is>
          <t>SG&amp;A</t>
        </is>
      </c>
      <c r="B17" s="382" t="n"/>
      <c r="C17" s="382" t="n">
        <v>9665</v>
      </c>
      <c r="D17" s="382" t="n">
        <v>13743</v>
      </c>
      <c r="E17" s="382" t="n">
        <v>18150</v>
      </c>
      <c r="F17" s="382" t="n">
        <v>24081</v>
      </c>
      <c r="G17" s="382" t="n">
        <v>28676</v>
      </c>
      <c r="H17" s="382" t="n">
        <v>41374</v>
      </c>
      <c r="I17" s="382" t="n">
        <v>54129</v>
      </c>
      <c r="J17" s="382" t="n">
        <v>56186</v>
      </c>
      <c r="K17" s="382" t="n">
        <v>55266</v>
      </c>
      <c r="L17" s="382" t="n">
        <v>58301</v>
      </c>
      <c r="N17" s="383" t="n">
        <v>2742</v>
      </c>
      <c r="O17" s="383" t="n">
        <v>13553</v>
      </c>
      <c r="P17" s="383" t="n">
        <v>13322</v>
      </c>
      <c r="Q17" s="383" t="n">
        <v>25649</v>
      </c>
      <c r="R17" s="383" t="n">
        <v>12391</v>
      </c>
      <c r="S17" s="383" t="n">
        <v>14381</v>
      </c>
      <c r="T17" s="383" t="n">
        <v>14561</v>
      </c>
      <c r="U17" s="383" t="n">
        <v>16968</v>
      </c>
      <c r="V17" s="384" t="n">
        <v>2587</v>
      </c>
      <c r="W17" s="384" t="n">
        <v>14486</v>
      </c>
      <c r="X17" s="384" t="n"/>
      <c r="Y17" s="384" t="n"/>
    </row>
    <row r="18" ht="15" customHeight="1" s="74">
      <c r="A18" s="15" t="inlineStr">
        <is>
          <t>R&amp;D</t>
        </is>
      </c>
      <c r="B18" s="379" t="n"/>
      <c r="C18" s="379" t="n">
        <v>16085</v>
      </c>
      <c r="D18" s="379" t="n">
        <v>22620</v>
      </c>
      <c r="E18" s="379" t="n">
        <v>28837</v>
      </c>
      <c r="F18" s="379" t="n">
        <v>35931</v>
      </c>
      <c r="G18" s="379" t="n">
        <v>42740</v>
      </c>
      <c r="H18" s="379" t="n">
        <v>56052</v>
      </c>
      <c r="I18" s="379" t="n">
        <v>73213</v>
      </c>
      <c r="J18" s="379" t="n">
        <v>85622</v>
      </c>
      <c r="K18" s="379" t="n">
        <v>88544</v>
      </c>
      <c r="L18" s="379" t="n">
        <v>108521</v>
      </c>
      <c r="N18" s="380" t="n">
        <v>20424</v>
      </c>
      <c r="O18" s="380" t="n">
        <v>22304</v>
      </c>
      <c r="P18" s="380" t="n"/>
      <c r="Q18" s="380" t="n"/>
      <c r="R18" s="380" t="n">
        <v>22994</v>
      </c>
      <c r="S18" s="380" t="n">
        <v>27166</v>
      </c>
      <c r="T18" s="380" t="n">
        <v>28962</v>
      </c>
      <c r="U18" s="380" t="n">
        <v>29399</v>
      </c>
      <c r="V18" s="381" t="n">
        <v>29567</v>
      </c>
      <c r="W18" s="381" t="n">
        <v>33158</v>
      </c>
      <c r="X18" s="381" t="n"/>
      <c r="Y18" s="381" t="n"/>
    </row>
    <row r="19" ht="15" customHeight="1" s="74">
      <c r="A19" s="17" t="inlineStr">
        <is>
          <t>Total OpEx (excl. COGS)</t>
        </is>
      </c>
      <c r="B19" s="71" t="n"/>
      <c r="C19" s="71" t="n">
        <v>43536</v>
      </c>
      <c r="D19" s="71" t="n">
        <v>61826</v>
      </c>
      <c r="E19" s="71" t="n">
        <v>81310</v>
      </c>
      <c r="F19" s="71" t="n">
        <v>100445</v>
      </c>
      <c r="G19" s="71" t="n">
        <v>129858</v>
      </c>
      <c r="H19" s="71" t="n">
        <v>172599</v>
      </c>
      <c r="I19" s="71" t="n">
        <v>212904</v>
      </c>
      <c r="J19" s="71" t="n">
        <v>233194</v>
      </c>
      <c r="K19" s="71" t="n">
        <v>243078</v>
      </c>
      <c r="L19" s="71" t="n">
        <v>280535</v>
      </c>
      <c r="N19" s="216" t="n">
        <v>55373</v>
      </c>
      <c r="O19" s="216" t="n">
        <v>59520</v>
      </c>
      <c r="P19" s="216" t="n">
        <v>60489</v>
      </c>
      <c r="Q19" s="216" t="n">
        <v>67696</v>
      </c>
      <c r="R19" s="216" t="n">
        <v>60286</v>
      </c>
      <c r="S19" s="216" t="n">
        <v>67722</v>
      </c>
      <c r="T19" s="216" t="n">
        <v>74077</v>
      </c>
      <c r="U19" s="216" t="n">
        <v>78450</v>
      </c>
      <c r="V19" s="256" t="n">
        <v>70204</v>
      </c>
      <c r="W19" s="256" t="n">
        <v>77367</v>
      </c>
      <c r="X19" s="461" t="n"/>
      <c r="Y19" s="461" t="n"/>
    </row>
    <row r="20" ht="15" customHeight="1" s="74">
      <c r="A20" s="15" t="inlineStr">
        <is>
          <t>EBITDA</t>
        </is>
      </c>
      <c r="B20" s="388" t="n"/>
      <c r="C20" s="388">
        <f>IFERROR(IF(OR(NOT(ISNUMBER(Data!C22)),NOT(ISNUMBER(Data!C21))),"-",Data!C22+Data!C21),"-")</f>
        <v/>
      </c>
      <c r="D20" s="388">
        <f>IFERROR(IF(OR(NOT(ISNUMBER(Data!D22)),NOT(ISNUMBER(Data!D21))),"-",Data!D22+Data!D21),"-")</f>
        <v/>
      </c>
      <c r="E20" s="388">
        <f>IFERROR(IF(OR(NOT(ISNUMBER(Data!E22)),NOT(ISNUMBER(Data!E21))),"-",Data!E22+Data!E21),"-")</f>
        <v/>
      </c>
      <c r="F20" s="388">
        <f>IFERROR(IF(OR(NOT(ISNUMBER(Data!F22)),NOT(ISNUMBER(Data!F21))),"-",Data!F22+Data!F21),"-")</f>
        <v/>
      </c>
      <c r="G20" s="388">
        <f>IFERROR(IF(OR(NOT(ISNUMBER(Data!G22)),NOT(ISNUMBER(Data!G21))),"-",Data!G22+Data!G21),"-")</f>
        <v/>
      </c>
      <c r="H20" s="388">
        <f>IFERROR(IF(OR(NOT(ISNUMBER(Data!H22)),NOT(ISNUMBER(Data!H21))),"-",Data!H22+Data!H21),"-")</f>
        <v/>
      </c>
      <c r="I20" s="388">
        <f>IFERROR(IF(OR(NOT(ISNUMBER(Data!I22)),NOT(ISNUMBER(Data!I21))),"-",Data!I22+Data!I21),"-")</f>
        <v/>
      </c>
      <c r="J20" s="388">
        <f>IFERROR(IF(OR(NOT(ISNUMBER(Data!J22)),NOT(ISNUMBER(Data!J21))),"-",Data!J22+Data!J21),"-")</f>
        <v/>
      </c>
      <c r="K20" s="388">
        <f>IFERROR(IF(OR(NOT(ISNUMBER(Data!K22)),NOT(ISNUMBER(Data!K21))),"-",Data!K22+Data!K21),"-")</f>
        <v/>
      </c>
      <c r="L20" s="388">
        <f>IFERROR(IF(OR(NOT(ISNUMBER(Data!L22)),NOT(ISNUMBER(Data!L21))),"-",Data!L22+Data!L21),"-")</f>
        <v/>
      </c>
      <c r="N20" s="389">
        <f>IFERROR(IF(OR(NOT(ISNUMBER(Data!N22)),NOT(ISNUMBER(Data!N21))),"-",Data!N22+Data!N21),"-")</f>
        <v/>
      </c>
      <c r="O20" s="389">
        <f>IFERROR(IF(OR(NOT(ISNUMBER(Data!O22)),NOT(ISNUMBER(Data!O21))),"-",Data!O22+Data!O21),"-")</f>
        <v/>
      </c>
      <c r="P20" s="389">
        <f>IFERROR(IF(OR(NOT(ISNUMBER(Data!P22)),NOT(ISNUMBER(Data!P21))),"-",Data!P22+Data!P21),"-")</f>
        <v/>
      </c>
      <c r="Q20" s="389">
        <f>IFERROR(IF(OR(NOT(ISNUMBER(Data!Q22)),NOT(ISNUMBER(Data!Q21))),"-",Data!Q22+Data!Q21),"-")</f>
        <v/>
      </c>
      <c r="R20" s="389">
        <f>IFERROR(IF(OR(NOT(ISNUMBER(Data!R22)),NOT(ISNUMBER(Data!R21))),"-",Data!R22+Data!R21),"-")</f>
        <v/>
      </c>
      <c r="S20" s="389">
        <f>IFERROR(IF(OR(NOT(ISNUMBER(Data!S22)),NOT(ISNUMBER(Data!S21))),"-",Data!S22+Data!S21),"-")</f>
        <v/>
      </c>
      <c r="T20" s="389">
        <f>IFERROR(IF(OR(NOT(ISNUMBER(Data!T22)),NOT(ISNUMBER(Data!T21))),"-",Data!T22+Data!T21),"-")</f>
        <v/>
      </c>
      <c r="U20" s="389">
        <f>IFERROR(IF(OR(NOT(ISNUMBER(Data!U22)),NOT(ISNUMBER(Data!U21))),"-",Data!U22+Data!U21),"-")</f>
        <v/>
      </c>
      <c r="V20" s="390">
        <f>IFERROR(IF(OR(NOT(ISNUMBER(Data!V22)),NOT(ISNUMBER(Data!V21))),"-",Data!V22+Data!V21),"-")</f>
        <v/>
      </c>
      <c r="W20" s="390">
        <f>IFERROR(IF(OR(NOT(ISNUMBER(Data!W22)),NOT(ISNUMBER(Data!W21))),"-",Data!W22+Data!W21),"-")</f>
        <v/>
      </c>
      <c r="X20" s="390">
        <f>IFERROR(IF(OR(NOT(ISNUMBER(Data!X22)),NOT(ISNUMBER(Data!X21))),"-",Data!X22+Data!X21),"-")</f>
        <v/>
      </c>
      <c r="Y20" s="390">
        <f>IFERROR(IF(OR(NOT(ISNUMBER(Data!Y22)),NOT(ISNUMBER(Data!Y21))),"-",Data!Y22+Data!Y21),"-")</f>
        <v/>
      </c>
    </row>
    <row r="21" ht="15" customHeight="1" s="74">
      <c r="A21" s="17" t="inlineStr">
        <is>
          <t>D&amp;A</t>
        </is>
      </c>
      <c r="B21" s="382" t="n"/>
      <c r="C21" s="382" t="n">
        <v>8116</v>
      </c>
      <c r="D21" s="382" t="n">
        <v>11478</v>
      </c>
      <c r="E21" s="382" t="n">
        <v>15341</v>
      </c>
      <c r="F21" s="382" t="n">
        <v>21789</v>
      </c>
      <c r="G21" s="382" t="n">
        <v>25251</v>
      </c>
      <c r="H21" s="382" t="n">
        <v>34296</v>
      </c>
      <c r="I21" s="382" t="n">
        <v>41921</v>
      </c>
      <c r="J21" s="382" t="n">
        <v>48663</v>
      </c>
      <c r="K21" s="382" t="n">
        <v>52795</v>
      </c>
      <c r="L21" s="382" t="n">
        <v>65756</v>
      </c>
      <c r="N21" s="383" t="n">
        <v>11684</v>
      </c>
      <c r="O21" s="383" t="n">
        <v>12038</v>
      </c>
      <c r="P21" s="383" t="n">
        <v>13442</v>
      </c>
      <c r="Q21" s="383" t="n">
        <v>15631</v>
      </c>
      <c r="R21" s="383" t="n">
        <v>14262</v>
      </c>
      <c r="S21" s="383" t="n">
        <v>15227</v>
      </c>
      <c r="T21" s="383" t="n">
        <v>16796</v>
      </c>
      <c r="U21" s="383" t="n">
        <v>19471</v>
      </c>
      <c r="V21" s="384" t="n">
        <v>18945</v>
      </c>
      <c r="W21" s="384" t="n">
        <v>19988</v>
      </c>
      <c r="X21" s="384" t="n"/>
      <c r="Y21" s="384" t="n"/>
    </row>
    <row r="22" ht="15" customHeight="1" s="74">
      <c r="A22" s="15" t="inlineStr">
        <is>
          <t>EBIT (Operating Income)</t>
        </is>
      </c>
      <c r="B22" s="70" t="n"/>
      <c r="C22" s="70" t="n">
        <v>4186</v>
      </c>
      <c r="D22" s="70" t="n">
        <v>4106</v>
      </c>
      <c r="E22" s="70" t="n">
        <v>12421</v>
      </c>
      <c r="F22" s="70" t="n">
        <v>14541</v>
      </c>
      <c r="G22" s="70" t="n">
        <v>22899</v>
      </c>
      <c r="H22" s="70" t="n">
        <v>24879</v>
      </c>
      <c r="I22" s="70" t="n">
        <v>12248</v>
      </c>
      <c r="J22" s="70" t="n">
        <v>36852</v>
      </c>
      <c r="K22" s="70" t="n">
        <v>68593</v>
      </c>
      <c r="L22" s="70" t="n">
        <v>79975</v>
      </c>
      <c r="N22" s="220" t="n">
        <v>15307</v>
      </c>
      <c r="O22" s="220" t="n">
        <v>14672</v>
      </c>
      <c r="P22" s="220" t="n">
        <v>17411</v>
      </c>
      <c r="Q22" s="220" t="n">
        <v>21203</v>
      </c>
      <c r="R22" s="220" t="n">
        <v>18405</v>
      </c>
      <c r="S22" s="220" t="n">
        <v>19171</v>
      </c>
      <c r="T22" s="220" t="n">
        <v>17422</v>
      </c>
      <c r="U22" s="220" t="n">
        <v>24977</v>
      </c>
      <c r="V22" s="258" t="n">
        <v>23852</v>
      </c>
      <c r="W22" s="258" t="n">
        <v>27461</v>
      </c>
      <c r="X22" s="461" t="n"/>
      <c r="Y22" s="461" t="n"/>
    </row>
    <row r="23" ht="15" customHeight="1" s="74">
      <c r="A23" s="17" t="inlineStr">
        <is>
          <t>Interest Expense</t>
        </is>
      </c>
      <c r="B23" s="382" t="n"/>
      <c r="C23" s="382" t="n">
        <v>484</v>
      </c>
      <c r="D23" s="382" t="n">
        <v>848</v>
      </c>
      <c r="E23" s="382" t="n">
        <v>1417</v>
      </c>
      <c r="F23" s="382" t="n">
        <v>1600</v>
      </c>
      <c r="G23" s="382" t="n">
        <v>1647</v>
      </c>
      <c r="H23" s="382" t="n">
        <v>1809</v>
      </c>
      <c r="I23" s="382" t="n">
        <v>2367</v>
      </c>
      <c r="J23" s="382" t="n">
        <v>3182</v>
      </c>
      <c r="K23" s="382" t="n">
        <v>2406</v>
      </c>
      <c r="L23" s="382" t="n">
        <v>2274</v>
      </c>
      <c r="N23" s="383" t="n">
        <v>-644</v>
      </c>
      <c r="O23" s="383" t="n">
        <v>-589</v>
      </c>
      <c r="P23" s="383" t="n">
        <v>-603</v>
      </c>
      <c r="Q23" s="383" t="n">
        <v>4242</v>
      </c>
      <c r="R23" s="383" t="n">
        <v>-541</v>
      </c>
      <c r="S23" s="383" t="n">
        <v>-516</v>
      </c>
      <c r="T23" s="383" t="n">
        <v>-538</v>
      </c>
      <c r="U23" s="383" t="n">
        <v>3869</v>
      </c>
      <c r="V23" s="384" t="n">
        <v>800</v>
      </c>
      <c r="W23" s="384" t="n">
        <v>1314</v>
      </c>
      <c r="X23" s="460" t="n"/>
      <c r="Y23" s="460" t="n"/>
    </row>
    <row r="24" ht="15" customHeight="1" s="74">
      <c r="A24" s="15" t="inlineStr">
        <is>
          <t>Pre-Tax Income</t>
        </is>
      </c>
      <c r="B24" s="70" t="n"/>
      <c r="C24" s="70" t="n">
        <v>3892</v>
      </c>
      <c r="D24" s="70" t="n">
        <v>3806</v>
      </c>
      <c r="E24" s="70" t="n">
        <v>11261</v>
      </c>
      <c r="F24" s="70" t="n">
        <v>13976</v>
      </c>
      <c r="G24" s="70" t="n">
        <v>24178</v>
      </c>
      <c r="H24" s="70" t="n">
        <v>38151</v>
      </c>
      <c r="I24" s="70" t="n">
        <v>-5936</v>
      </c>
      <c r="J24" s="70" t="n">
        <v>37557</v>
      </c>
      <c r="K24" s="70" t="n">
        <v>68614</v>
      </c>
      <c r="L24" s="70" t="n">
        <v>97311</v>
      </c>
      <c r="N24" s="220" t="n">
        <v>12983</v>
      </c>
      <c r="O24" s="220" t="n">
        <v>15245</v>
      </c>
      <c r="P24" s="220" t="n">
        <v>18037</v>
      </c>
      <c r="Q24" s="220" t="n">
        <v>22349</v>
      </c>
      <c r="R24" s="220" t="n">
        <v>21679</v>
      </c>
      <c r="S24" s="220" t="n">
        <v>20857</v>
      </c>
      <c r="T24" s="220" t="n">
        <v>28170</v>
      </c>
      <c r="U24" s="220" t="n">
        <v>26605</v>
      </c>
      <c r="V24" s="258" t="n">
        <v>39834</v>
      </c>
      <c r="W24" s="258" t="n">
        <v>80857</v>
      </c>
      <c r="X24" s="461" t="n"/>
      <c r="Y24" s="461" t="n"/>
    </row>
    <row r="25" ht="15" customHeight="1" s="74">
      <c r="A25" s="17" t="inlineStr">
        <is>
          <t>Tax Expense</t>
        </is>
      </c>
      <c r="B25" s="388" t="n"/>
      <c r="C25" s="388" t="n">
        <v>1425</v>
      </c>
      <c r="D25" s="388" t="n">
        <v>769</v>
      </c>
      <c r="E25" s="388" t="n">
        <v>1197</v>
      </c>
      <c r="F25" s="388" t="n">
        <v>2374</v>
      </c>
      <c r="G25" s="388" t="n">
        <v>2863</v>
      </c>
      <c r="H25" s="388" t="n">
        <v>4791</v>
      </c>
      <c r="I25" s="388" t="n">
        <v>-3217</v>
      </c>
      <c r="J25" s="388" t="n">
        <v>7120</v>
      </c>
      <c r="K25" s="388" t="n">
        <v>9265</v>
      </c>
      <c r="L25" s="388" t="n">
        <v>19087</v>
      </c>
      <c r="N25" s="389" t="n">
        <v>-2467</v>
      </c>
      <c r="O25" s="389" t="n">
        <v>-1767</v>
      </c>
      <c r="P25" s="389" t="n">
        <v>-2706</v>
      </c>
      <c r="Q25" s="389" t="n">
        <v>-2325</v>
      </c>
      <c r="R25" s="389" t="n">
        <v>-4553</v>
      </c>
      <c r="S25" s="389" t="n">
        <v>-2678</v>
      </c>
      <c r="T25" s="389" t="n">
        <v>-6910</v>
      </c>
      <c r="U25" s="389" t="n">
        <v>-4946</v>
      </c>
      <c r="V25" s="390" t="n">
        <v>-9560</v>
      </c>
      <c r="W25" s="390" t="n">
        <v>18199</v>
      </c>
      <c r="X25" s="460" t="n"/>
      <c r="Y25" s="460" t="n"/>
    </row>
    <row r="26" ht="15" customHeight="1" s="74">
      <c r="A26" s="15" t="inlineStr">
        <is>
          <t>Net Income</t>
        </is>
      </c>
      <c r="B26" s="379" t="n"/>
      <c r="C26" s="379" t="n">
        <v>2371</v>
      </c>
      <c r="D26" s="379" t="n">
        <v>3033</v>
      </c>
      <c r="E26" s="379" t="n">
        <v>10073</v>
      </c>
      <c r="F26" s="379" t="n">
        <v>11588</v>
      </c>
      <c r="G26" s="379" t="n">
        <v>21331</v>
      </c>
      <c r="H26" s="379" t="n">
        <v>33364</v>
      </c>
      <c r="I26" s="379" t="n">
        <v>-2722</v>
      </c>
      <c r="J26" s="379" t="n">
        <v>30425</v>
      </c>
      <c r="K26" s="379" t="n">
        <v>59248</v>
      </c>
      <c r="L26" s="379" t="n">
        <v>77670</v>
      </c>
      <c r="N26" s="380" t="n">
        <v>10431</v>
      </c>
      <c r="O26" s="380" t="n">
        <v>13485</v>
      </c>
      <c r="P26" s="380" t="n">
        <v>15328</v>
      </c>
      <c r="Q26" s="380" t="n">
        <v>20004</v>
      </c>
      <c r="R26" s="380" t="n">
        <v>17127</v>
      </c>
      <c r="S26" s="380" t="n">
        <v>18164</v>
      </c>
      <c r="T26" s="380" t="n">
        <v>21187</v>
      </c>
      <c r="U26" s="380" t="n">
        <v>21192</v>
      </c>
      <c r="V26" s="381" t="n">
        <v>30255</v>
      </c>
      <c r="W26" s="381" t="n">
        <v>62647</v>
      </c>
      <c r="X26" s="460" t="n"/>
      <c r="Y26" s="460" t="n"/>
    </row>
    <row r="27" ht="15" customHeight="1" s="74">
      <c r="A27" s="17" t="inlineStr">
        <is>
          <t>Diluted EPS</t>
        </is>
      </c>
      <c r="B27" s="391" t="n"/>
      <c r="C27" s="391" t="n">
        <v>4.9</v>
      </c>
      <c r="D27" s="391" t="n">
        <v>6.15</v>
      </c>
      <c r="E27" s="391" t="n">
        <v>20.14</v>
      </c>
      <c r="F27" s="391" t="n">
        <v>23.01</v>
      </c>
      <c r="G27" s="391" t="n">
        <v>41.83</v>
      </c>
      <c r="H27" s="391" t="n">
        <v>64.81</v>
      </c>
      <c r="I27" s="391" t="n">
        <v>-0.27</v>
      </c>
      <c r="J27" s="391" t="n">
        <v>2.9</v>
      </c>
      <c r="K27" s="391" t="n">
        <v>5.53</v>
      </c>
      <c r="L27" s="391" t="n">
        <v>7.17</v>
      </c>
      <c r="N27" s="392" t="n">
        <v>0.98</v>
      </c>
      <c r="O27" s="392" t="n">
        <v>1.26</v>
      </c>
      <c r="P27" s="392" t="n">
        <v>1.43</v>
      </c>
      <c r="Q27" s="392" t="n"/>
      <c r="R27" s="392" t="n">
        <v>1.59</v>
      </c>
      <c r="S27" s="392" t="n">
        <v>1.68</v>
      </c>
      <c r="T27" s="392" t="n">
        <v>1.95</v>
      </c>
      <c r="U27" s="392" t="n"/>
      <c r="V27" s="384" t="n">
        <v>2.78</v>
      </c>
      <c r="W27" s="384" t="n">
        <v>5.75</v>
      </c>
      <c r="X27" s="460" t="n"/>
      <c r="Y27" s="460" t="n"/>
    </row>
    <row r="28" ht="15" customHeight="1" s="74">
      <c r="A28" s="15" t="inlineStr">
        <is>
          <t>Diluted Shares Out. (M)</t>
        </is>
      </c>
      <c r="B28" s="393" t="n"/>
      <c r="C28" s="393" t="n">
        <v>484</v>
      </c>
      <c r="D28" s="393" t="n">
        <v>493</v>
      </c>
      <c r="E28" s="393" t="n">
        <v>500</v>
      </c>
      <c r="F28" s="393" t="n">
        <v>504</v>
      </c>
      <c r="G28" s="393" t="n">
        <v>510</v>
      </c>
      <c r="H28" s="393" t="n">
        <v>515</v>
      </c>
      <c r="I28" s="393" t="n">
        <v>10189</v>
      </c>
      <c r="J28" s="393" t="n">
        <v>10492</v>
      </c>
      <c r="K28" s="393" t="n">
        <v>10721</v>
      </c>
      <c r="L28" s="393" t="n">
        <v>10827</v>
      </c>
      <c r="M28" s="308" t="n">
        <v>10903</v>
      </c>
      <c r="N28" s="394" t="n">
        <v>10670</v>
      </c>
      <c r="O28" s="394" t="n">
        <v>10708</v>
      </c>
      <c r="P28" s="394" t="n">
        <v>10735</v>
      </c>
      <c r="Q28" s="394" t="n"/>
      <c r="R28" s="394" t="n">
        <v>10793</v>
      </c>
      <c r="S28" s="394" t="n">
        <v>10806</v>
      </c>
      <c r="T28" s="394" t="n">
        <v>10845</v>
      </c>
      <c r="U28" s="394" t="n"/>
      <c r="V28" s="381" t="n">
        <v>10874</v>
      </c>
      <c r="W28" s="381" t="n">
        <v>10903</v>
      </c>
      <c r="X28" s="460" t="n"/>
      <c r="Y28" s="460" t="n"/>
    </row>
    <row r="29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  <c r="J29" s="2" t="n"/>
      <c r="K29" s="2" t="n"/>
      <c r="L29" s="2" t="n"/>
      <c r="N29" s="224" t="n"/>
      <c r="O29" s="224" t="n"/>
      <c r="P29" s="224" t="n"/>
      <c r="Q29" s="224" t="n"/>
      <c r="R29" s="224" t="n"/>
      <c r="S29" s="224" t="n"/>
      <c r="T29" s="224" t="n"/>
      <c r="U29" s="224" t="n"/>
      <c r="V29" s="224" t="n"/>
      <c r="W29" s="224" t="n"/>
      <c r="X29" s="224" t="n"/>
      <c r="Y29" s="224" t="n"/>
    </row>
    <row r="30" ht="15" customHeight="1" s="74">
      <c r="A30" s="30" t="inlineStr">
        <is>
          <t>BALANCE SHEET ($M)</t>
        </is>
      </c>
    </row>
    <row r="31" ht="28" customHeight="1" s="74">
      <c r="A31" s="14" t="n"/>
      <c r="B31" s="14" t="inlineStr">
        <is>
          <t>2015</t>
        </is>
      </c>
      <c r="C31" s="14" t="inlineStr">
        <is>
          <t>2016</t>
        </is>
      </c>
      <c r="D31" s="14" t="inlineStr">
        <is>
          <t>2017</t>
        </is>
      </c>
      <c r="E31" s="14" t="inlineStr">
        <is>
          <t>2018</t>
        </is>
      </c>
      <c r="F31" s="14" t="inlineStr">
        <is>
          <t>2019</t>
        </is>
      </c>
      <c r="G31" s="14" t="inlineStr">
        <is>
          <t>2020</t>
        </is>
      </c>
      <c r="H31" s="14" t="inlineStr">
        <is>
          <t>2021</t>
        </is>
      </c>
      <c r="I31" s="14" t="inlineStr">
        <is>
          <t>2022</t>
        </is>
      </c>
      <c r="J31" s="14" t="inlineStr">
        <is>
          <t>2023</t>
        </is>
      </c>
      <c r="K31" s="14" t="inlineStr">
        <is>
          <t>2024</t>
        </is>
      </c>
      <c r="L31" s="14" t="inlineStr">
        <is>
          <t>2025</t>
        </is>
      </c>
      <c r="N31" s="14" t="inlineStr">
        <is>
          <t>Year -2
Q1</t>
        </is>
      </c>
      <c r="O31" s="14" t="inlineStr">
        <is>
          <t>Year -2
Q2</t>
        </is>
      </c>
      <c r="P31" s="14" t="inlineStr">
        <is>
          <t>Year -2
Q3</t>
        </is>
      </c>
      <c r="Q31" s="14" t="inlineStr">
        <is>
          <t>Year -2
Q4</t>
        </is>
      </c>
      <c r="R31" s="14" t="inlineStr">
        <is>
          <t>Year -1
Q1</t>
        </is>
      </c>
      <c r="S31" s="14" t="inlineStr">
        <is>
          <t>Year -1
Q2</t>
        </is>
      </c>
      <c r="T31" s="14" t="inlineStr">
        <is>
          <t>Year -1
Q3</t>
        </is>
      </c>
      <c r="U31" s="14" t="inlineStr">
        <is>
          <t>Year -1
Q4</t>
        </is>
      </c>
      <c r="V31" s="14" t="inlineStr">
        <is>
          <t>Current Year
Q1</t>
        </is>
      </c>
      <c r="W31" s="14" t="inlineStr">
        <is>
          <t>Current Year
Q2</t>
        </is>
      </c>
      <c r="X31" s="14" t="inlineStr">
        <is>
          <t>Current Year
Q3</t>
        </is>
      </c>
      <c r="Y31" s="14" t="inlineStr">
        <is>
          <t>Current Year
Q4</t>
        </is>
      </c>
      <c r="Z31" s="435" t="n"/>
      <c r="AA31" s="435" t="n"/>
      <c r="AB31" s="435" t="n"/>
      <c r="AC31" s="435" t="n"/>
    </row>
    <row r="32" ht="15" customHeight="1" s="74">
      <c r="A32" s="15" t="inlineStr">
        <is>
          <t>Total Cash &amp; Equivalents</t>
        </is>
      </c>
      <c r="B32" s="379" t="n"/>
      <c r="C32" s="379" t="n"/>
      <c r="D32" s="379" t="n">
        <v>20522</v>
      </c>
      <c r="E32" s="379" t="n">
        <v>31750</v>
      </c>
      <c r="F32" s="379" t="n">
        <v>36092</v>
      </c>
      <c r="G32" s="379" t="n">
        <v>42122</v>
      </c>
      <c r="H32" s="379" t="n">
        <v>36220</v>
      </c>
      <c r="I32" s="379" t="n">
        <v>53888</v>
      </c>
      <c r="J32" s="379" t="n">
        <v>73387</v>
      </c>
      <c r="K32" s="379" t="n">
        <v>78779</v>
      </c>
      <c r="L32" s="379" t="n">
        <v>86810</v>
      </c>
      <c r="N32" s="380" t="n">
        <v>72852</v>
      </c>
      <c r="O32" s="380" t="n">
        <v>71178</v>
      </c>
      <c r="P32" s="380" t="n">
        <v>75091</v>
      </c>
      <c r="Q32" s="380" t="n">
        <v>78779</v>
      </c>
      <c r="R32" s="380" t="n">
        <v>66207</v>
      </c>
      <c r="S32" s="380" t="n">
        <v>57741</v>
      </c>
      <c r="T32" s="380" t="n">
        <v>66922</v>
      </c>
      <c r="U32" s="380" t="n">
        <v>86810</v>
      </c>
      <c r="V32" s="381" t="n">
        <v>101816</v>
      </c>
      <c r="W32" s="381" t="n">
        <v>78213</v>
      </c>
      <c r="X32" s="460" t="n"/>
      <c r="Y32" s="460" t="n"/>
    </row>
    <row r="33" ht="15" customHeight="1" s="74">
      <c r="A33" s="17" t="inlineStr">
        <is>
          <t>Short-term Debt</t>
        </is>
      </c>
      <c r="B33" s="382" t="n"/>
      <c r="C33" s="382" t="n"/>
      <c r="D33" s="382" t="n">
        <v>100</v>
      </c>
      <c r="E33" s="382" t="n">
        <v>1371</v>
      </c>
      <c r="F33" s="382" t="n">
        <v>1307</v>
      </c>
      <c r="G33" s="382" t="n">
        <v>1155</v>
      </c>
      <c r="H33" s="382" t="n">
        <v>1491</v>
      </c>
      <c r="I33" s="382" t="n">
        <v>2999</v>
      </c>
      <c r="J33" s="382" t="n">
        <v>8494</v>
      </c>
      <c r="K33" s="382" t="n">
        <v>5017</v>
      </c>
      <c r="L33" s="382" t="n">
        <v>2748</v>
      </c>
      <c r="N33" s="383" t="n">
        <v>0</v>
      </c>
      <c r="O33" s="383" t="n">
        <v>7429</v>
      </c>
      <c r="P33" s="383" t="n">
        <v>5248</v>
      </c>
      <c r="Q33" s="383" t="n">
        <v>5017</v>
      </c>
      <c r="R33" s="383" t="n">
        <v>5014</v>
      </c>
      <c r="S33" s="383" t="n">
        <v>5178</v>
      </c>
      <c r="T33" s="383" t="n">
        <v>3997</v>
      </c>
      <c r="U33" s="383" t="n">
        <v>2748</v>
      </c>
      <c r="V33" s="384" t="n">
        <v>0</v>
      </c>
      <c r="W33" s="384" t="n"/>
      <c r="X33" s="460" t="n"/>
      <c r="Y33" s="460" t="n"/>
    </row>
    <row r="34" ht="15" customHeight="1" s="74">
      <c r="A34" s="15" t="inlineStr">
        <is>
          <t>Long-term Debt</t>
        </is>
      </c>
      <c r="B34" s="379" t="n"/>
      <c r="C34" s="379" t="n"/>
      <c r="D34" s="379" t="n">
        <v>24743</v>
      </c>
      <c r="E34" s="379" t="n">
        <v>23495</v>
      </c>
      <c r="F34" s="379" t="n">
        <v>23414</v>
      </c>
      <c r="G34" s="379" t="n">
        <v>31816</v>
      </c>
      <c r="H34" s="379" t="n">
        <v>48744</v>
      </c>
      <c r="I34" s="379" t="n">
        <v>67150</v>
      </c>
      <c r="J34" s="379" t="n">
        <v>58314</v>
      </c>
      <c r="K34" s="379" t="n">
        <v>52623</v>
      </c>
      <c r="L34" s="379" t="n">
        <v>65648</v>
      </c>
      <c r="N34" s="380" t="n">
        <v>57634</v>
      </c>
      <c r="O34" s="380" t="n">
        <v>54889</v>
      </c>
      <c r="P34" s="380" t="n">
        <v>54890</v>
      </c>
      <c r="Q34" s="380" t="n">
        <v>52623</v>
      </c>
      <c r="R34" s="380" t="n">
        <v>53374</v>
      </c>
      <c r="S34" s="380" t="n">
        <v>50718</v>
      </c>
      <c r="T34" s="380" t="n">
        <v>50742</v>
      </c>
      <c r="U34" s="380" t="n">
        <v>65648</v>
      </c>
      <c r="V34" s="381" t="n">
        <v>119074</v>
      </c>
      <c r="W34" s="381" t="n">
        <v>128894</v>
      </c>
      <c r="X34" s="460" t="n"/>
      <c r="Y34" s="460" t="n"/>
    </row>
    <row r="35" ht="15" customHeight="1" s="74">
      <c r="A35" s="17" t="inlineStr">
        <is>
          <t>Total Debt</t>
        </is>
      </c>
      <c r="B35" s="385" t="n"/>
      <c r="C35" s="385">
        <f>IF(AND(NOT(ISNUMBER(Data!C33)),NOT(ISNUMBER(Data!C34))),"-",Data!C33+Data!C34)</f>
        <v/>
      </c>
      <c r="D35" s="385">
        <f>IF(AND(NOT(ISNUMBER(Data!D33)),NOT(ISNUMBER(Data!D34))),"-",Data!D33+Data!D34)</f>
        <v/>
      </c>
      <c r="E35" s="385">
        <f>IF(AND(NOT(ISNUMBER(Data!E33)),NOT(ISNUMBER(Data!E34))),"-",Data!E33+Data!E34)</f>
        <v/>
      </c>
      <c r="F35" s="385">
        <f>IF(AND(NOT(ISNUMBER(Data!F33)),NOT(ISNUMBER(Data!F34))),"-",Data!F33+Data!F34)</f>
        <v/>
      </c>
      <c r="G35" s="385">
        <f>IF(AND(NOT(ISNUMBER(Data!G33)),NOT(ISNUMBER(Data!G34))),"-",Data!G33+Data!G34)</f>
        <v/>
      </c>
      <c r="H35" s="385">
        <f>IF(AND(NOT(ISNUMBER(Data!H33)),NOT(ISNUMBER(Data!H34))),"-",Data!H33+Data!H34)</f>
        <v/>
      </c>
      <c r="I35" s="385">
        <f>IF(AND(NOT(ISNUMBER(Data!I33)),NOT(ISNUMBER(Data!I34))),"-",Data!I33+Data!I34)</f>
        <v/>
      </c>
      <c r="J35" s="385">
        <f>IF(AND(NOT(ISNUMBER(Data!J33)),NOT(ISNUMBER(Data!J34))),"-",Data!J33+Data!J34)</f>
        <v/>
      </c>
      <c r="K35" s="385">
        <f>IF(AND(NOT(ISNUMBER(Data!K33)),NOT(ISNUMBER(Data!K34))),"-",Data!K33+Data!K34)</f>
        <v/>
      </c>
      <c r="L35" s="385">
        <f>IF(AND(NOT(ISNUMBER(Data!L33)),NOT(ISNUMBER(Data!L34))),"-",Data!L33+Data!L34)</f>
        <v/>
      </c>
      <c r="N35" s="386">
        <f>IF(AND(NOT(ISNUMBER(Data!N33)),NOT(ISNUMBER(Data!N34))),"-",Data!N33+Data!N34)</f>
        <v/>
      </c>
      <c r="O35" s="386">
        <f>IF(AND(NOT(ISNUMBER(Data!O33)),NOT(ISNUMBER(Data!O34))),"-",Data!O33+Data!O34)</f>
        <v/>
      </c>
      <c r="P35" s="386">
        <f>IF(AND(NOT(ISNUMBER(Data!P33)),NOT(ISNUMBER(Data!P34))),"-",Data!P33+Data!P34)</f>
        <v/>
      </c>
      <c r="Q35" s="386">
        <f>IF(AND(NOT(ISNUMBER(Data!Q33)),NOT(ISNUMBER(Data!Q34))),"-",Data!Q33+Data!Q34)</f>
        <v/>
      </c>
      <c r="R35" s="386">
        <f>IF(AND(NOT(ISNUMBER(Data!R33)),NOT(ISNUMBER(Data!R34))),"-",Data!R33+Data!R34)</f>
        <v/>
      </c>
      <c r="S35" s="386">
        <f>IF(AND(NOT(ISNUMBER(Data!S33)),NOT(ISNUMBER(Data!S34))),"-",Data!S33+Data!S34)</f>
        <v/>
      </c>
      <c r="T35" s="386">
        <f>IF(AND(NOT(ISNUMBER(Data!T33)),NOT(ISNUMBER(Data!T34))),"-",Data!T33+Data!T34)</f>
        <v/>
      </c>
      <c r="U35" s="386">
        <f>IF(AND(NOT(ISNUMBER(Data!U33)),NOT(ISNUMBER(Data!U34))),"-",Data!U33+Data!U34)</f>
        <v/>
      </c>
      <c r="V35" s="387">
        <f>IF(AND(NOT(ISNUMBER(Data!V33)),NOT(ISNUMBER(Data!V34))),"-",Data!V33+Data!V34)</f>
        <v/>
      </c>
      <c r="W35" s="387">
        <f>IF(AND(NOT(ISNUMBER(Data!W33)),NOT(ISNUMBER(Data!W34))),"-",Data!W33+Data!W34)</f>
        <v/>
      </c>
      <c r="X35" s="461">
        <f>IF(AND(NOT(ISNUMBER(Data!X33)),NOT(ISNUMBER(Data!X34))),"-",Data!X33+Data!X34)</f>
        <v/>
      </c>
      <c r="Y35" s="461">
        <f>IF(AND(NOT(ISNUMBER(Data!Y33)),NOT(ISNUMBER(Data!Y34))),"-",Data!Y33+Data!Y34)</f>
        <v/>
      </c>
    </row>
    <row r="36" ht="15" customHeight="1" s="74">
      <c r="A36" s="15" t="inlineStr">
        <is>
          <t>Net Debt</t>
        </is>
      </c>
      <c r="B36" s="385" t="n"/>
      <c r="C36" s="385">
        <f>IFERROR(IF(OR(NOT(ISNUMBER(Data!C35)),NOT(ISNUMBER(Data!C32))),"-",Data!C35-Data!C32),"-")</f>
        <v/>
      </c>
      <c r="D36" s="385">
        <f>IFERROR(IF(OR(NOT(ISNUMBER(Data!D35)),NOT(ISNUMBER(Data!D32))),"-",Data!D35-Data!D32),"-")</f>
        <v/>
      </c>
      <c r="E36" s="385">
        <f>IFERROR(IF(OR(NOT(ISNUMBER(Data!E35)),NOT(ISNUMBER(Data!E32))),"-",Data!E35-Data!E32),"-")</f>
        <v/>
      </c>
      <c r="F36" s="385">
        <f>IFERROR(IF(OR(NOT(ISNUMBER(Data!F35)),NOT(ISNUMBER(Data!F32))),"-",Data!F35-Data!F32),"-")</f>
        <v/>
      </c>
      <c r="G36" s="385">
        <f>IFERROR(IF(OR(NOT(ISNUMBER(Data!G35)),NOT(ISNUMBER(Data!G32))),"-",Data!G35-Data!G32),"-")</f>
        <v/>
      </c>
      <c r="H36" s="385">
        <f>IFERROR(IF(OR(NOT(ISNUMBER(Data!H35)),NOT(ISNUMBER(Data!H32))),"-",Data!H35-Data!H32),"-")</f>
        <v/>
      </c>
      <c r="I36" s="385">
        <f>IFERROR(IF(OR(NOT(ISNUMBER(Data!I35)),NOT(ISNUMBER(Data!I32))),"-",Data!I35-Data!I32),"-")</f>
        <v/>
      </c>
      <c r="J36" s="385">
        <f>IFERROR(IF(OR(NOT(ISNUMBER(Data!J35)),NOT(ISNUMBER(Data!J32))),"-",Data!J35-Data!J32),"-")</f>
        <v/>
      </c>
      <c r="K36" s="385">
        <f>IFERROR(IF(OR(NOT(ISNUMBER(Data!K35)),NOT(ISNUMBER(Data!K32))),"-",Data!K35-Data!K32),"-")</f>
        <v/>
      </c>
      <c r="L36" s="385">
        <f>IFERROR(IF(OR(NOT(ISNUMBER(Data!L35)),NOT(ISNUMBER(Data!L32))),"-",Data!L35-Data!L32),"-")</f>
        <v/>
      </c>
      <c r="N36" s="386">
        <f>IFERROR(IF(OR(NOT(ISNUMBER(Data!N35)),NOT(ISNUMBER(Data!N32))),"-",Data!N35-Data!N32),"-")</f>
        <v/>
      </c>
      <c r="O36" s="386">
        <f>IFERROR(IF(OR(NOT(ISNUMBER(Data!O35)),NOT(ISNUMBER(Data!O32))),"-",Data!O35-Data!O32),"-")</f>
        <v/>
      </c>
      <c r="P36" s="386">
        <f>IFERROR(IF(OR(NOT(ISNUMBER(Data!P35)),NOT(ISNUMBER(Data!P32))),"-",Data!P35-Data!P32),"-")</f>
        <v/>
      </c>
      <c r="Q36" s="386">
        <f>IFERROR(IF(OR(NOT(ISNUMBER(Data!Q35)),NOT(ISNUMBER(Data!Q32))),"-",Data!Q35-Data!Q32),"-")</f>
        <v/>
      </c>
      <c r="R36" s="386">
        <f>IFERROR(IF(OR(NOT(ISNUMBER(Data!R35)),NOT(ISNUMBER(Data!R32))),"-",Data!R35-Data!R32),"-")</f>
        <v/>
      </c>
      <c r="S36" s="386">
        <f>IFERROR(IF(OR(NOT(ISNUMBER(Data!S35)),NOT(ISNUMBER(Data!S32))),"-",Data!S35-Data!S32),"-")</f>
        <v/>
      </c>
      <c r="T36" s="386">
        <f>IFERROR(IF(OR(NOT(ISNUMBER(Data!T35)),NOT(ISNUMBER(Data!T32))),"-",Data!T35-Data!T32),"-")</f>
        <v/>
      </c>
      <c r="U36" s="386">
        <f>IFERROR(IF(OR(NOT(ISNUMBER(Data!U35)),NOT(ISNUMBER(Data!U32))),"-",Data!U35-Data!U32),"-")</f>
        <v/>
      </c>
      <c r="V36" s="387">
        <f>IFERROR(IF(OR(NOT(ISNUMBER(Data!V35)),NOT(ISNUMBER(Data!V32))),"-",Data!V35-Data!V32),"-")</f>
        <v/>
      </c>
      <c r="W36" s="387">
        <f>IFERROR(IF(OR(NOT(ISNUMBER(Data!W35)),NOT(ISNUMBER(Data!W32))),"-",Data!W35-Data!W32),"-")</f>
        <v/>
      </c>
      <c r="X36" s="461">
        <f>IFERROR(IF(OR(NOT(ISNUMBER(Data!X35)),NOT(ISNUMBER(Data!X32))),"-",Data!X35-Data!X32),"-")</f>
        <v/>
      </c>
      <c r="Y36" s="461">
        <f>IFERROR(IF(OR(NOT(ISNUMBER(Data!Y35)),NOT(ISNUMBER(Data!Y32))),"-",Data!Y35-Data!Y32),"-")</f>
        <v/>
      </c>
    </row>
    <row r="37" ht="15" customHeight="1" s="74">
      <c r="A37" s="17" t="inlineStr">
        <is>
          <t>Total Current Assets</t>
        </is>
      </c>
      <c r="B37" s="382" t="n"/>
      <c r="C37" s="382" t="n"/>
      <c r="D37" s="382" t="n">
        <v>60197</v>
      </c>
      <c r="E37" s="382" t="n">
        <v>75101</v>
      </c>
      <c r="F37" s="382" t="n">
        <v>96334</v>
      </c>
      <c r="G37" s="382" t="n">
        <v>132733</v>
      </c>
      <c r="H37" s="382" t="n">
        <v>161580</v>
      </c>
      <c r="I37" s="382" t="n">
        <v>146791</v>
      </c>
      <c r="J37" s="382" t="n">
        <v>172351</v>
      </c>
      <c r="K37" s="382" t="n">
        <v>190867</v>
      </c>
      <c r="L37" s="382" t="n">
        <v>229083</v>
      </c>
      <c r="N37" s="383" t="n">
        <v>163989</v>
      </c>
      <c r="O37" s="383" t="n">
        <v>173307</v>
      </c>
      <c r="P37" s="383" t="n">
        <v>175792</v>
      </c>
      <c r="Q37" s="383" t="n">
        <v>190867</v>
      </c>
      <c r="R37" s="383" t="n">
        <v>184645</v>
      </c>
      <c r="S37" s="383" t="n">
        <v>191420</v>
      </c>
      <c r="T37" s="383" t="n">
        <v>196866</v>
      </c>
      <c r="U37" s="383" t="n">
        <v>229083</v>
      </c>
      <c r="V37" s="384" t="n">
        <v>255155</v>
      </c>
      <c r="W37" s="384" t="n">
        <v>249264</v>
      </c>
      <c r="X37" s="460" t="n"/>
      <c r="Y37" s="460" t="n"/>
    </row>
    <row r="38" ht="15" customHeight="1" s="74">
      <c r="A38" s="15" t="inlineStr">
        <is>
          <t>Total Current Liabilities</t>
        </is>
      </c>
      <c r="B38" s="379" t="n"/>
      <c r="C38" s="379" t="n"/>
      <c r="D38" s="379" t="n">
        <v>57883</v>
      </c>
      <c r="E38" s="379" t="n">
        <v>68391</v>
      </c>
      <c r="F38" s="379" t="n">
        <v>87812</v>
      </c>
      <c r="G38" s="379" t="n">
        <v>126385</v>
      </c>
      <c r="H38" s="379" t="n">
        <v>142266</v>
      </c>
      <c r="I38" s="379" t="n">
        <v>155393</v>
      </c>
      <c r="J38" s="379" t="n">
        <v>164917</v>
      </c>
      <c r="K38" s="379" t="n">
        <v>179431</v>
      </c>
      <c r="L38" s="379" t="n">
        <v>218005</v>
      </c>
      <c r="N38" s="380" t="n">
        <v>152965</v>
      </c>
      <c r="O38" s="380" t="n">
        <v>158172</v>
      </c>
      <c r="P38" s="380" t="n">
        <v>161477</v>
      </c>
      <c r="Q38" s="380" t="n">
        <v>179431</v>
      </c>
      <c r="R38" s="380" t="n">
        <v>176171</v>
      </c>
      <c r="S38" s="380" t="n">
        <v>186921</v>
      </c>
      <c r="T38" s="380" t="n">
        <v>195196</v>
      </c>
      <c r="U38" s="380" t="n">
        <v>218005</v>
      </c>
      <c r="V38" s="381" t="n">
        <v>216756</v>
      </c>
      <c r="W38" s="381" t="n">
        <v>241274</v>
      </c>
      <c r="X38" s="460" t="n"/>
      <c r="Y38" s="460" t="n"/>
    </row>
    <row r="39" ht="15" customHeight="1" s="74">
      <c r="A39" s="17" t="inlineStr">
        <is>
          <t>Total Assets</t>
        </is>
      </c>
      <c r="B39" s="382" t="n"/>
      <c r="C39" s="382" t="n"/>
      <c r="D39" s="382" t="n">
        <v>131310</v>
      </c>
      <c r="E39" s="382" t="n">
        <v>162648</v>
      </c>
      <c r="F39" s="382" t="n">
        <v>225248</v>
      </c>
      <c r="G39" s="382" t="n">
        <v>321195</v>
      </c>
      <c r="H39" s="382" t="n">
        <v>420549</v>
      </c>
      <c r="I39" s="382" t="n">
        <v>462675</v>
      </c>
      <c r="J39" s="382" t="n">
        <v>527854</v>
      </c>
      <c r="K39" s="382" t="n">
        <v>624894</v>
      </c>
      <c r="L39" s="382" t="n">
        <v>818042</v>
      </c>
      <c r="N39" s="383" t="n">
        <v>530969</v>
      </c>
      <c r="O39" s="383" t="n">
        <v>554818</v>
      </c>
      <c r="P39" s="383" t="n">
        <v>584626</v>
      </c>
      <c r="Q39" s="383" t="n">
        <v>624894</v>
      </c>
      <c r="R39" s="383" t="n">
        <v>643256</v>
      </c>
      <c r="S39" s="383" t="n">
        <v>682170</v>
      </c>
      <c r="T39" s="383" t="n">
        <v>727921</v>
      </c>
      <c r="U39" s="383" t="n">
        <v>818042</v>
      </c>
      <c r="V39" s="384" t="n">
        <v>916630</v>
      </c>
      <c r="W39" s="384" t="n">
        <v>1095689</v>
      </c>
      <c r="X39" s="460" t="n"/>
      <c r="Y39" s="460" t="n"/>
    </row>
    <row r="40" ht="15" customHeight="1" s="74">
      <c r="A40" s="15" t="inlineStr">
        <is>
          <t>Total Liabilities</t>
        </is>
      </c>
      <c r="B40" s="388" t="n"/>
      <c r="C40" s="388" t="n"/>
      <c r="D40" s="388" t="n">
        <v>103601</v>
      </c>
      <c r="E40" s="388" t="n">
        <v>119099</v>
      </c>
      <c r="F40" s="388" t="n">
        <v>163188</v>
      </c>
      <c r="G40" s="388" t="n">
        <v>227791</v>
      </c>
      <c r="H40" s="388" t="n">
        <v>282304</v>
      </c>
      <c r="I40" s="388" t="n">
        <v>316632</v>
      </c>
      <c r="J40" s="388" t="n">
        <v>325979</v>
      </c>
      <c r="K40" s="388" t="n">
        <v>338924</v>
      </c>
      <c r="L40" s="388" t="n">
        <v>406977</v>
      </c>
      <c r="N40" s="389" t="n">
        <v>314308</v>
      </c>
      <c r="O40" s="389" t="n">
        <v>318371</v>
      </c>
      <c r="P40" s="389" t="n">
        <v>325475</v>
      </c>
      <c r="Q40" s="389" t="n">
        <v>338924</v>
      </c>
      <c r="R40" s="389" t="n">
        <v>337389</v>
      </c>
      <c r="S40" s="389" t="n">
        <v>348395</v>
      </c>
      <c r="T40" s="389" t="n">
        <v>358290</v>
      </c>
      <c r="U40" s="389" t="n">
        <v>406977</v>
      </c>
      <c r="V40" s="390" t="n">
        <v>474716</v>
      </c>
      <c r="W40" s="390" t="n">
        <v>544069</v>
      </c>
      <c r="X40" s="460" t="n"/>
      <c r="Y40" s="460" t="n"/>
    </row>
    <row r="41" ht="15" customHeight="1" s="74">
      <c r="A41" s="17" t="inlineStr">
        <is>
          <t>Shareholders' Equity</t>
        </is>
      </c>
      <c r="B41" s="382" t="n"/>
      <c r="C41" s="382" t="n"/>
      <c r="D41" s="382" t="n">
        <v>27709</v>
      </c>
      <c r="E41" s="382" t="n">
        <v>43549</v>
      </c>
      <c r="F41" s="382" t="n">
        <v>62060</v>
      </c>
      <c r="G41" s="382" t="n">
        <v>93404</v>
      </c>
      <c r="H41" s="382" t="n">
        <v>138245</v>
      </c>
      <c r="I41" s="382" t="n">
        <v>146043</v>
      </c>
      <c r="J41" s="382" t="n">
        <v>201875</v>
      </c>
      <c r="K41" s="382" t="n">
        <v>285970</v>
      </c>
      <c r="L41" s="382" t="n">
        <v>411065</v>
      </c>
      <c r="N41" s="383" t="n">
        <v>216661</v>
      </c>
      <c r="O41" s="383" t="n">
        <v>236447</v>
      </c>
      <c r="P41" s="383" t="n">
        <v>259151</v>
      </c>
      <c r="Q41" s="383" t="n">
        <v>285970</v>
      </c>
      <c r="R41" s="383" t="n">
        <v>305867</v>
      </c>
      <c r="S41" s="383" t="n">
        <v>333775</v>
      </c>
      <c r="T41" s="383" t="n">
        <v>369631</v>
      </c>
      <c r="U41" s="383" t="n">
        <v>411065</v>
      </c>
      <c r="V41" s="384" t="n">
        <v>441914</v>
      </c>
      <c r="W41" s="384" t="n">
        <v>551620</v>
      </c>
      <c r="X41" s="460" t="n"/>
      <c r="Y41" s="460" t="n"/>
    </row>
    <row r="42" ht="15" customHeight="1" s="74">
      <c r="A42" s="15" t="inlineStr">
        <is>
          <t>Minority Interest</t>
        </is>
      </c>
      <c r="B42" s="379" t="n"/>
      <c r="C42" s="379" t="n"/>
      <c r="D42" s="379" t="n"/>
      <c r="E42" s="379" t="n"/>
      <c r="F42" s="379" t="n"/>
      <c r="G42" s="379" t="n"/>
      <c r="H42" s="379" t="n"/>
      <c r="I42" s="379" t="n"/>
      <c r="J42" s="379" t="n"/>
      <c r="K42" s="379" t="n"/>
      <c r="L42" s="379" t="n"/>
      <c r="N42" s="380" t="n"/>
      <c r="O42" s="380" t="n"/>
      <c r="P42" s="380" t="n"/>
      <c r="Q42" s="380" t="n"/>
      <c r="R42" s="380" t="n"/>
      <c r="S42" s="380" t="n">
        <v>0</v>
      </c>
      <c r="T42" s="380" t="n"/>
      <c r="U42" s="380" t="n"/>
      <c r="V42" s="381" t="n">
        <v>0</v>
      </c>
      <c r="W42" s="381" t="n"/>
      <c r="X42" s="460" t="n"/>
      <c r="Y42" s="460" t="n"/>
    </row>
    <row r="43" ht="15" customHeight="1" s="74">
      <c r="A43" s="17" t="inlineStr">
        <is>
          <t>Intangible Assets &amp; Goodwill</t>
        </is>
      </c>
      <c r="B43" s="382" t="n"/>
      <c r="C43" s="382" t="n"/>
      <c r="D43" s="382" t="n">
        <v>13350</v>
      </c>
      <c r="E43" s="382" t="n">
        <v>14548</v>
      </c>
      <c r="F43" s="382" t="n">
        <v>14754</v>
      </c>
      <c r="G43" s="382" t="n">
        <v>15017</v>
      </c>
      <c r="H43" s="382" t="n">
        <v>15371</v>
      </c>
      <c r="I43" s="382" t="n">
        <v>20288</v>
      </c>
      <c r="J43" s="382" t="n">
        <v>22789</v>
      </c>
      <c r="K43" s="382" t="n">
        <v>23074</v>
      </c>
      <c r="L43" s="382" t="n">
        <v>23273</v>
      </c>
      <c r="N43" s="383" t="n">
        <v>22770</v>
      </c>
      <c r="O43" s="383" t="n">
        <v>22879</v>
      </c>
      <c r="P43" s="383" t="n">
        <v>23081</v>
      </c>
      <c r="Q43" s="383" t="n">
        <v>23074</v>
      </c>
      <c r="R43" s="383" t="n">
        <v>23089</v>
      </c>
      <c r="S43" s="383" t="n">
        <v>23155</v>
      </c>
      <c r="T43" s="383" t="n">
        <v>23260</v>
      </c>
      <c r="U43" s="383" t="n">
        <v>23273</v>
      </c>
      <c r="V43" s="384" t="n">
        <v>23449</v>
      </c>
      <c r="W43" s="384" t="n">
        <v>23504</v>
      </c>
      <c r="X43" s="460" t="n"/>
      <c r="Y43" s="460" t="n"/>
    </row>
    <row r="44" ht="15" customHeight="1" s="74">
      <c r="A44" s="15" t="inlineStr">
        <is>
          <t>PP&amp;E</t>
        </is>
      </c>
      <c r="B44" s="379" t="n"/>
      <c r="C44" s="379" t="n"/>
      <c r="D44" s="379" t="n">
        <v>48866</v>
      </c>
      <c r="E44" s="379" t="n">
        <v>61797</v>
      </c>
      <c r="F44" s="379" t="n">
        <v>72705</v>
      </c>
      <c r="G44" s="379" t="n">
        <v>113114</v>
      </c>
      <c r="H44" s="379" t="n">
        <v>160281</v>
      </c>
      <c r="I44" s="379" t="n">
        <v>186715</v>
      </c>
      <c r="J44" s="379" t="n">
        <v>204177</v>
      </c>
      <c r="K44" s="379" t="n">
        <v>252665</v>
      </c>
      <c r="L44" s="379" t="n">
        <v>357025</v>
      </c>
      <c r="N44" s="380" t="n">
        <v>209950</v>
      </c>
      <c r="O44" s="380" t="n">
        <v>220717</v>
      </c>
      <c r="P44" s="380" t="n">
        <v>237917</v>
      </c>
      <c r="Q44" s="380" t="n">
        <v>252665</v>
      </c>
      <c r="R44" s="380" t="n">
        <v>272781</v>
      </c>
      <c r="S44" s="380" t="n">
        <v>297616</v>
      </c>
      <c r="T44" s="380" t="n">
        <v>324435</v>
      </c>
      <c r="U44" s="380" t="n">
        <v>357025</v>
      </c>
      <c r="V44" s="381" t="n">
        <v>397458</v>
      </c>
      <c r="W44" s="381" t="n">
        <v>446046</v>
      </c>
      <c r="X44" s="381" t="n"/>
      <c r="Y44" s="381" t="n"/>
    </row>
    <row r="45" ht="15" customHeight="1" s="74">
      <c r="A45" s="17" t="inlineStr">
        <is>
          <t>Receivables</t>
        </is>
      </c>
      <c r="B45" s="382" t="n"/>
      <c r="C45" s="382" t="n"/>
      <c r="D45" s="382" t="n">
        <v>13164</v>
      </c>
      <c r="E45" s="382" t="n">
        <v>16677</v>
      </c>
      <c r="F45" s="382" t="n">
        <v>20816</v>
      </c>
      <c r="G45" s="382" t="n">
        <v>24542</v>
      </c>
      <c r="H45" s="382" t="n">
        <v>32891</v>
      </c>
      <c r="I45" s="382" t="n">
        <v>42360</v>
      </c>
      <c r="J45" s="382" t="n">
        <v>52253</v>
      </c>
      <c r="K45" s="382" t="n">
        <v>55451</v>
      </c>
      <c r="L45" s="382" t="n">
        <v>67729</v>
      </c>
      <c r="N45" s="383" t="n">
        <v>47768</v>
      </c>
      <c r="O45" s="383" t="n">
        <v>50106</v>
      </c>
      <c r="P45" s="383" t="n">
        <v>51638</v>
      </c>
      <c r="Q45" s="383" t="n">
        <v>55451</v>
      </c>
      <c r="R45" s="383" t="n">
        <v>54216</v>
      </c>
      <c r="S45" s="383" t="n">
        <v>57415</v>
      </c>
      <c r="T45" s="383" t="n">
        <v>61175</v>
      </c>
      <c r="U45" s="383" t="n">
        <v>67729</v>
      </c>
      <c r="V45" s="384" t="n">
        <v>75532</v>
      </c>
      <c r="W45" s="384" t="n">
        <v>88092</v>
      </c>
      <c r="X45" s="460" t="n"/>
      <c r="Y45" s="460" t="n"/>
    </row>
    <row r="46" ht="15" customHeight="1" s="74">
      <c r="A46" s="15" t="inlineStr">
        <is>
          <t>Payables</t>
        </is>
      </c>
      <c r="B46" s="379" t="n"/>
      <c r="C46" s="379" t="n"/>
      <c r="D46" s="379" t="n">
        <v>34616</v>
      </c>
      <c r="E46" s="379" t="n">
        <v>38192</v>
      </c>
      <c r="F46" s="379" t="n">
        <v>47183</v>
      </c>
      <c r="G46" s="379" t="n">
        <v>72539</v>
      </c>
      <c r="H46" s="379" t="n">
        <v>78664</v>
      </c>
      <c r="I46" s="379" t="n">
        <v>79600</v>
      </c>
      <c r="J46" s="379" t="n">
        <v>84981</v>
      </c>
      <c r="K46" s="379" t="n">
        <v>94363</v>
      </c>
      <c r="L46" s="379" t="n">
        <v>121909</v>
      </c>
      <c r="N46" s="380" t="n">
        <v>73068</v>
      </c>
      <c r="O46" s="380" t="n">
        <v>81817</v>
      </c>
      <c r="P46" s="380" t="n">
        <v>84570</v>
      </c>
      <c r="Q46" s="380" t="n">
        <v>94363</v>
      </c>
      <c r="R46" s="380" t="n">
        <v>89241</v>
      </c>
      <c r="S46" s="380" t="n">
        <v>98285</v>
      </c>
      <c r="T46" s="380" t="n">
        <v>106032</v>
      </c>
      <c r="U46" s="380" t="n">
        <v>121909</v>
      </c>
      <c r="V46" s="381" t="n">
        <v>124749</v>
      </c>
      <c r="W46" s="381" t="n">
        <v>147440</v>
      </c>
      <c r="X46" s="460" t="n"/>
      <c r="Y46" s="460" t="n"/>
    </row>
    <row r="47" ht="15" customHeight="1" s="74">
      <c r="A47" s="17" t="inlineStr">
        <is>
          <t>Inventory</t>
        </is>
      </c>
      <c r="B47" s="382" t="n"/>
      <c r="C47" s="382" t="n"/>
      <c r="D47" s="382" t="n">
        <v>16047</v>
      </c>
      <c r="E47" s="382" t="n">
        <v>17174</v>
      </c>
      <c r="F47" s="382" t="n">
        <v>20497</v>
      </c>
      <c r="G47" s="382" t="n">
        <v>23795</v>
      </c>
      <c r="H47" s="382" t="n">
        <v>32640</v>
      </c>
      <c r="I47" s="382" t="n">
        <v>34405</v>
      </c>
      <c r="J47" s="382" t="n">
        <v>33318</v>
      </c>
      <c r="K47" s="382" t="n">
        <v>34214</v>
      </c>
      <c r="L47" s="382" t="n">
        <v>38325</v>
      </c>
      <c r="N47" s="383" t="n">
        <v>31147</v>
      </c>
      <c r="O47" s="383" t="n">
        <v>34109</v>
      </c>
      <c r="P47" s="383" t="n">
        <v>36103</v>
      </c>
      <c r="Q47" s="383" t="n">
        <v>34214</v>
      </c>
      <c r="R47" s="383" t="n">
        <v>35864</v>
      </c>
      <c r="S47" s="383" t="n">
        <v>40825</v>
      </c>
      <c r="T47" s="383" t="n">
        <v>41494</v>
      </c>
      <c r="U47" s="383" t="n">
        <v>38325</v>
      </c>
      <c r="V47" s="384" t="n">
        <v>36534</v>
      </c>
      <c r="W47" s="384" t="n">
        <v>38184</v>
      </c>
      <c r="X47" s="460" t="n"/>
      <c r="Y47" s="460" t="n"/>
    </row>
    <row r="48" ht="15" customHeight="1" s="74">
      <c r="A48" s="10" t="inlineStr">
        <is>
          <t>Retained Earnings</t>
        </is>
      </c>
      <c r="B48" s="432" t="n"/>
      <c r="C48" s="432" t="n"/>
      <c r="D48" s="432" t="n">
        <v>8636</v>
      </c>
      <c r="E48" s="432" t="n">
        <v>19625</v>
      </c>
      <c r="F48" s="432" t="n">
        <v>31220</v>
      </c>
      <c r="G48" s="432" t="n">
        <v>52551</v>
      </c>
      <c r="H48" s="432" t="n">
        <v>85915</v>
      </c>
      <c r="I48" s="432" t="n">
        <v>83193</v>
      </c>
      <c r="J48" s="432" t="n">
        <v>113618</v>
      </c>
      <c r="K48" s="432" t="n">
        <v>172866</v>
      </c>
      <c r="L48" s="432" t="n">
        <v>250536</v>
      </c>
      <c r="N48" s="433" t="n">
        <v>124049</v>
      </c>
      <c r="O48" s="433" t="n">
        <v>137534</v>
      </c>
      <c r="P48" s="433" t="n">
        <v>152862</v>
      </c>
      <c r="Q48" s="433" t="n">
        <v>172866</v>
      </c>
      <c r="R48" s="433" t="n">
        <v>189993</v>
      </c>
      <c r="S48" s="433" t="n">
        <v>208157</v>
      </c>
      <c r="T48" s="433" t="n">
        <v>229344</v>
      </c>
      <c r="U48" s="433" t="n">
        <v>250536</v>
      </c>
      <c r="V48" s="433" t="n">
        <v>280791</v>
      </c>
      <c r="W48" s="433" t="n">
        <v>343438</v>
      </c>
      <c r="X48" s="462" t="n"/>
      <c r="Y48" s="462" t="n"/>
    </row>
    <row r="49" ht="15" customHeight="1" s="74">
      <c r="A49" s="30" t="inlineStr">
        <is>
          <t>CASH FLOW STATEMENT ($M)</t>
        </is>
      </c>
    </row>
    <row r="50" ht="28" customHeight="1" s="74">
      <c r="A50" s="14" t="n"/>
      <c r="B50" s="14" t="inlineStr">
        <is>
          <t>2015</t>
        </is>
      </c>
      <c r="C50" s="14" t="inlineStr">
        <is>
          <t>2016</t>
        </is>
      </c>
      <c r="D50" s="14" t="inlineStr">
        <is>
          <t>2017</t>
        </is>
      </c>
      <c r="E50" s="14" t="inlineStr">
        <is>
          <t>2018</t>
        </is>
      </c>
      <c r="F50" s="14" t="inlineStr">
        <is>
          <t>2019</t>
        </is>
      </c>
      <c r="G50" s="14" t="inlineStr">
        <is>
          <t>2020</t>
        </is>
      </c>
      <c r="H50" s="14" t="inlineStr">
        <is>
          <t>2021</t>
        </is>
      </c>
      <c r="I50" s="14" t="inlineStr">
        <is>
          <t>2022</t>
        </is>
      </c>
      <c r="J50" s="14" t="inlineStr">
        <is>
          <t>2023</t>
        </is>
      </c>
      <c r="K50" s="14" t="inlineStr">
        <is>
          <t>2024</t>
        </is>
      </c>
      <c r="L50" s="14" t="inlineStr">
        <is>
          <t>2025</t>
        </is>
      </c>
      <c r="N50" s="14" t="inlineStr">
        <is>
          <t>Year -2
Q1</t>
        </is>
      </c>
      <c r="O50" s="14" t="inlineStr">
        <is>
          <t>Year -2
Q2</t>
        </is>
      </c>
      <c r="P50" s="14" t="inlineStr">
        <is>
          <t>Year -2
Q3</t>
        </is>
      </c>
      <c r="Q50" s="14" t="inlineStr">
        <is>
          <t>Year -2
Q4</t>
        </is>
      </c>
      <c r="R50" s="14" t="inlineStr">
        <is>
          <t>Year -1
Q1</t>
        </is>
      </c>
      <c r="S50" s="14" t="inlineStr">
        <is>
          <t>Year -1
Q2</t>
        </is>
      </c>
      <c r="T50" s="14" t="inlineStr">
        <is>
          <t>Year -1
Q3</t>
        </is>
      </c>
      <c r="U50" s="14" t="inlineStr">
        <is>
          <t>Year -1
Q4</t>
        </is>
      </c>
      <c r="V50" s="14" t="inlineStr">
        <is>
          <t>Current Year
Q1</t>
        </is>
      </c>
      <c r="W50" s="14" t="inlineStr">
        <is>
          <t>Current Year
Q2</t>
        </is>
      </c>
      <c r="X50" s="14" t="inlineStr">
        <is>
          <t>Current Year
Q3</t>
        </is>
      </c>
      <c r="Y50" s="14" t="inlineStr">
        <is>
          <t>Current Year
Q4</t>
        </is>
      </c>
      <c r="Z50" s="435" t="n"/>
      <c r="AA50" s="435" t="n"/>
      <c r="AB50" s="435" t="n"/>
      <c r="AC50" s="435" t="n"/>
    </row>
    <row r="51" ht="15" customHeight="1" s="74">
      <c r="A51" s="17" t="inlineStr">
        <is>
          <t>Cash from Operations</t>
        </is>
      </c>
      <c r="B51" s="382" t="n"/>
      <c r="C51" s="382" t="n">
        <v>17203</v>
      </c>
      <c r="D51" s="382" t="n">
        <v>18365</v>
      </c>
      <c r="E51" s="382" t="n">
        <v>30723</v>
      </c>
      <c r="F51" s="382" t="n">
        <v>38514</v>
      </c>
      <c r="G51" s="382" t="n">
        <v>66064</v>
      </c>
      <c r="H51" s="382" t="n">
        <v>46327</v>
      </c>
      <c r="I51" s="382" t="n">
        <v>46752</v>
      </c>
      <c r="J51" s="382" t="n">
        <v>84946</v>
      </c>
      <c r="K51" s="382" t="n">
        <v>115877</v>
      </c>
      <c r="L51" s="382" t="n">
        <v>139514</v>
      </c>
      <c r="N51" s="383" t="n">
        <v>18989</v>
      </c>
      <c r="O51" s="383" t="n">
        <v>25281</v>
      </c>
      <c r="P51" s="383" t="n">
        <v>25971</v>
      </c>
      <c r="Q51" s="383" t="n">
        <v>45636</v>
      </c>
      <c r="R51" s="383" t="n">
        <v>17015</v>
      </c>
      <c r="S51" s="383" t="n">
        <v>32515</v>
      </c>
      <c r="T51" s="383" t="n">
        <v>35525</v>
      </c>
      <c r="U51" s="383" t="n">
        <v>54459</v>
      </c>
      <c r="V51" s="384" t="n">
        <v>26032</v>
      </c>
      <c r="W51" s="384" t="n">
        <v>45387</v>
      </c>
      <c r="X51" s="460" t="n"/>
      <c r="Y51" s="460" t="n"/>
    </row>
    <row r="52" ht="15" customHeight="1" s="74">
      <c r="A52" s="15" t="inlineStr">
        <is>
          <t>Capital Expenditures</t>
        </is>
      </c>
      <c r="B52" s="379" t="n"/>
      <c r="C52" s="379" t="n">
        <v>7804</v>
      </c>
      <c r="D52" s="379" t="n">
        <v>11955</v>
      </c>
      <c r="E52" s="379" t="n">
        <v>13427</v>
      </c>
      <c r="F52" s="379" t="n">
        <v>16861</v>
      </c>
      <c r="G52" s="379" t="n">
        <v>40140</v>
      </c>
      <c r="H52" s="379" t="n">
        <v>61053</v>
      </c>
      <c r="I52" s="379" t="n">
        <v>63645</v>
      </c>
      <c r="J52" s="379" t="n">
        <v>52729</v>
      </c>
      <c r="K52" s="379" t="n">
        <v>82999</v>
      </c>
      <c r="L52" s="379" t="n">
        <v>131819</v>
      </c>
      <c r="N52" s="380" t="n">
        <v>14925</v>
      </c>
      <c r="O52" s="380" t="n">
        <v>17620</v>
      </c>
      <c r="P52" s="380" t="n">
        <v>22620</v>
      </c>
      <c r="Q52" s="380" t="n">
        <v>27834</v>
      </c>
      <c r="R52" s="380" t="n">
        <v>25019</v>
      </c>
      <c r="S52" s="380" t="n">
        <v>32183</v>
      </c>
      <c r="T52" s="380" t="n">
        <v>35095</v>
      </c>
      <c r="U52" s="380" t="n">
        <v>39522</v>
      </c>
      <c r="V52" s="381" t="n">
        <v>44203</v>
      </c>
      <c r="W52" s="381" t="n">
        <v>54208</v>
      </c>
      <c r="X52" s="460" t="n"/>
      <c r="Y52" s="460" t="n"/>
    </row>
    <row r="53" ht="15" customHeight="1" s="74">
      <c r="A53" s="17" t="inlineStr">
        <is>
          <t>Free Cash Flow</t>
        </is>
      </c>
      <c r="B53" s="385" t="n"/>
      <c r="C53" s="385">
        <f>IFERROR(IF(OR(NOT(ISNUMBER(Data!C51)),NOT(ISNUMBER(Data!C52))),"-",Data!C51-ABS(Data!C52)),"-")</f>
        <v/>
      </c>
      <c r="D53" s="385">
        <f>IFERROR(IF(OR(NOT(ISNUMBER(Data!D51)),NOT(ISNUMBER(Data!D52))),"-",Data!D51-ABS(Data!D52)),"-")</f>
        <v/>
      </c>
      <c r="E53" s="385">
        <f>IFERROR(IF(OR(NOT(ISNUMBER(Data!E51)),NOT(ISNUMBER(Data!E52))),"-",Data!E51-ABS(Data!E52)),"-")</f>
        <v/>
      </c>
      <c r="F53" s="385">
        <f>IFERROR(IF(OR(NOT(ISNUMBER(Data!F51)),NOT(ISNUMBER(Data!F52))),"-",Data!F51-ABS(Data!F52)),"-")</f>
        <v/>
      </c>
      <c r="G53" s="385">
        <f>IFERROR(IF(OR(NOT(ISNUMBER(Data!G51)),NOT(ISNUMBER(Data!G52))),"-",Data!G51-ABS(Data!G52)),"-")</f>
        <v/>
      </c>
      <c r="H53" s="385">
        <f>IFERROR(IF(OR(NOT(ISNUMBER(Data!H51)),NOT(ISNUMBER(Data!H52))),"-",Data!H51-ABS(Data!H52)),"-")</f>
        <v/>
      </c>
      <c r="I53" s="385">
        <f>IFERROR(IF(OR(NOT(ISNUMBER(Data!I51)),NOT(ISNUMBER(Data!I52))),"-",Data!I51-ABS(Data!I52)),"-")</f>
        <v/>
      </c>
      <c r="J53" s="385">
        <f>IFERROR(IF(OR(NOT(ISNUMBER(Data!J51)),NOT(ISNUMBER(Data!J52))),"-",Data!J51-ABS(Data!J52)),"-")</f>
        <v/>
      </c>
      <c r="K53" s="385">
        <f>IFERROR(IF(OR(NOT(ISNUMBER(Data!K51)),NOT(ISNUMBER(Data!K52))),"-",Data!K51-ABS(Data!K52)),"-")</f>
        <v/>
      </c>
      <c r="L53" s="385">
        <f>IFERROR(IF(OR(NOT(ISNUMBER(Data!L51)),NOT(ISNUMBER(Data!L52))),"-",Data!L51-ABS(Data!L52)),"-")</f>
        <v/>
      </c>
      <c r="N53" s="386">
        <f>IFERROR(IF(OR(NOT(ISNUMBER(Data!N51)),NOT(ISNUMBER(Data!N52))),"-",Data!N51-ABS(Data!N52)),"-")</f>
        <v/>
      </c>
      <c r="O53" s="386">
        <f>IFERROR(IF(OR(NOT(ISNUMBER(Data!O51)),NOT(ISNUMBER(Data!O52))),"-",Data!O51-ABS(Data!O52)),"-")</f>
        <v/>
      </c>
      <c r="P53" s="386">
        <f>IFERROR(IF(OR(NOT(ISNUMBER(Data!P51)),NOT(ISNUMBER(Data!P52))),"-",Data!P51-ABS(Data!P52)),"-")</f>
        <v/>
      </c>
      <c r="Q53" s="386">
        <f>IFERROR(IF(OR(NOT(ISNUMBER(Data!Q51)),NOT(ISNUMBER(Data!Q52))),"-",Data!Q51-ABS(Data!Q52)),"-")</f>
        <v/>
      </c>
      <c r="R53" s="386">
        <f>IFERROR(IF(OR(NOT(ISNUMBER(Data!R51)),NOT(ISNUMBER(Data!R52))),"-",Data!R51-ABS(Data!R52)),"-")</f>
        <v/>
      </c>
      <c r="S53" s="386">
        <f>IFERROR(IF(OR(NOT(ISNUMBER(Data!S51)),NOT(ISNUMBER(Data!S52))),"-",Data!S51-ABS(Data!S52)),"-")</f>
        <v/>
      </c>
      <c r="T53" s="386">
        <f>IFERROR(IF(OR(NOT(ISNUMBER(Data!T51)),NOT(ISNUMBER(Data!T52))),"-",Data!T51-ABS(Data!T52)),"-")</f>
        <v/>
      </c>
      <c r="U53" s="386">
        <f>IFERROR(IF(OR(NOT(ISNUMBER(Data!U51)),NOT(ISNUMBER(Data!U52))),"-",Data!U51-ABS(Data!U52)),"-")</f>
        <v/>
      </c>
      <c r="V53" s="387">
        <f>IFERROR(IF(OR(NOT(ISNUMBER(Data!V51)),NOT(ISNUMBER(Data!V52))),"-",Data!V51-ABS(Data!V52)),"-")</f>
        <v/>
      </c>
      <c r="W53" s="387">
        <f>IFERROR(IF(OR(NOT(ISNUMBER(Data!W51)),NOT(ISNUMBER(Data!W52))),"-",Data!W51-ABS(Data!W52)),"-")</f>
        <v/>
      </c>
      <c r="X53" s="461">
        <f>IFERROR(IF(OR(NOT(ISNUMBER(Data!X51)),NOT(ISNUMBER(Data!X52))),"-",Data!X51-ABS(Data!X52)),"-")</f>
        <v/>
      </c>
      <c r="Y53" s="461">
        <f>IFERROR(IF(OR(NOT(ISNUMBER(Data!Y51)),NOT(ISNUMBER(Data!Y52))),"-",Data!Y51-ABS(Data!Y52)),"-")</f>
        <v/>
      </c>
    </row>
    <row r="54" ht="15" customHeight="1" s="74">
      <c r="A54" s="15" t="inlineStr">
        <is>
          <t>Stock-Based Compensation</t>
        </is>
      </c>
      <c r="B54" s="379" t="n"/>
      <c r="C54" s="379" t="n">
        <v>2975</v>
      </c>
      <c r="D54" s="379" t="n">
        <v>4215</v>
      </c>
      <c r="E54" s="379" t="n">
        <v>5418</v>
      </c>
      <c r="F54" s="379" t="n">
        <v>6864</v>
      </c>
      <c r="G54" s="379" t="n">
        <v>9208</v>
      </c>
      <c r="H54" s="379" t="n">
        <v>12757</v>
      </c>
      <c r="I54" s="379" t="n">
        <v>19621</v>
      </c>
      <c r="J54" s="379" t="n">
        <v>24023</v>
      </c>
      <c r="K54" s="379" t="n">
        <v>22011</v>
      </c>
      <c r="L54" s="379" t="n">
        <v>19467</v>
      </c>
      <c r="N54" s="380" t="n">
        <v>4961</v>
      </c>
      <c r="O54" s="380" t="n">
        <v>6722</v>
      </c>
      <c r="P54" s="380" t="n">
        <v>5333</v>
      </c>
      <c r="Q54" s="380" t="n">
        <v>4995</v>
      </c>
      <c r="R54" s="380" t="n">
        <v>3689</v>
      </c>
      <c r="S54" s="380" t="n">
        <v>6534</v>
      </c>
      <c r="T54" s="380" t="n">
        <v>4847</v>
      </c>
      <c r="U54" s="380" t="n">
        <v>4397</v>
      </c>
      <c r="V54" s="381" t="n">
        <v>4032</v>
      </c>
      <c r="W54" s="381" t="n">
        <v>6038</v>
      </c>
      <c r="X54" s="460" t="n"/>
      <c r="Y54" s="460" t="n"/>
    </row>
    <row r="55" ht="15" customHeight="1" s="74">
      <c r="A55" s="17" t="inlineStr">
        <is>
          <t>Dividends Paid</t>
        </is>
      </c>
      <c r="B55" s="382" t="n"/>
      <c r="C55" s="382" t="n"/>
      <c r="D55" s="382" t="n"/>
      <c r="E55" s="382" t="n"/>
      <c r="F55" s="382" t="n"/>
      <c r="G55" s="382" t="n"/>
      <c r="H55" s="382" t="n"/>
      <c r="I55" s="382" t="n"/>
      <c r="J55" s="382" t="n"/>
      <c r="K55" s="382" t="n"/>
      <c r="L55" s="382" t="n"/>
      <c r="N55" s="383" t="n">
        <v>0</v>
      </c>
      <c r="O55" s="383" t="n">
        <v>0</v>
      </c>
      <c r="P55" s="383" t="n">
        <v>0</v>
      </c>
      <c r="Q55" s="383" t="n"/>
      <c r="R55" s="383" t="n">
        <v>0</v>
      </c>
      <c r="S55" s="383" t="n">
        <v>0</v>
      </c>
      <c r="T55" s="383" t="n">
        <v>0</v>
      </c>
      <c r="U55" s="383" t="n"/>
      <c r="V55" s="384" t="n">
        <v>0</v>
      </c>
      <c r="W55" s="384" t="n">
        <v>0</v>
      </c>
      <c r="X55" s="460" t="n"/>
      <c r="Y55" s="460" t="n"/>
    </row>
    <row r="56" ht="15" customHeight="1" s="74">
      <c r="A56" s="15" t="inlineStr">
        <is>
          <t>Share Repurchases</t>
        </is>
      </c>
      <c r="B56" s="379" t="n"/>
      <c r="C56" s="379" t="n"/>
      <c r="D56" s="379" t="n"/>
      <c r="E56" s="379" t="n"/>
      <c r="F56" s="379" t="n"/>
      <c r="G56" s="379" t="n">
        <v>0</v>
      </c>
      <c r="H56" s="379" t="n">
        <v>0</v>
      </c>
      <c r="I56" s="379" t="n">
        <v>6000</v>
      </c>
      <c r="J56" s="379" t="n"/>
      <c r="K56" s="379" t="n"/>
      <c r="L56" s="379" t="n"/>
      <c r="N56" s="380" t="n">
        <v>0</v>
      </c>
      <c r="O56" s="380" t="n">
        <v>0</v>
      </c>
      <c r="P56" s="380" t="n">
        <v>0</v>
      </c>
      <c r="Q56" s="380" t="n"/>
      <c r="R56" s="380" t="n">
        <v>0</v>
      </c>
      <c r="S56" s="380" t="n">
        <v>0</v>
      </c>
      <c r="T56" s="380" t="n">
        <v>0</v>
      </c>
      <c r="U56" s="380" t="n"/>
      <c r="V56" s="381" t="n">
        <v>0</v>
      </c>
      <c r="W56" s="381" t="n">
        <v>0</v>
      </c>
      <c r="X56" s="460" t="n"/>
      <c r="Y56" s="460" t="n"/>
    </row>
    <row r="57">
      <c r="A57" s="2" t="inlineStr">
        <is>
          <t>Historical Share Price (Period-End)</t>
        </is>
      </c>
      <c r="B57" s="2" t="n">
        <v>675.89</v>
      </c>
      <c r="C57" s="2" t="n">
        <v>749.87</v>
      </c>
      <c r="D57" s="2" t="n">
        <v>1169.47</v>
      </c>
      <c r="E57" s="2" t="n">
        <v>1501.97</v>
      </c>
      <c r="F57" s="2" t="n">
        <v>1847.84</v>
      </c>
      <c r="G57" s="2" t="n">
        <v>3256.93</v>
      </c>
      <c r="H57" s="2" t="n">
        <v>3334.34</v>
      </c>
      <c r="I57" s="2" t="n">
        <v>84</v>
      </c>
      <c r="J57" s="2" t="n">
        <v>151.94</v>
      </c>
      <c r="K57" s="2" t="n">
        <v>219.39</v>
      </c>
      <c r="L57" s="2" t="n">
        <v>230.82</v>
      </c>
      <c r="N57" s="224" t="n"/>
      <c r="O57" s="224" t="n"/>
      <c r="P57" s="224" t="n"/>
      <c r="Q57" s="224" t="n"/>
      <c r="R57" s="224" t="n"/>
      <c r="S57" s="224" t="n"/>
      <c r="T57" s="224" t="n"/>
      <c r="U57" s="224" t="n"/>
      <c r="V57" s="224" t="n"/>
      <c r="W57" s="224" t="n"/>
      <c r="X57" s="463" t="n"/>
      <c r="Y57" s="463" t="n"/>
    </row>
    <row r="59" ht="19" customHeight="1" s="74">
      <c r="A59" s="226" t="inlineStr">
        <is>
          <t>SEGMENT &amp; GEOGRAPHIC DATA ($M)  — agent fills names + yearly values</t>
        </is>
      </c>
    </row>
    <row r="60">
      <c r="A60" s="227" t="inlineStr">
        <is>
          <t>Revenue by Segment:</t>
        </is>
      </c>
    </row>
    <row r="61">
      <c r="A61" s="259" t="inlineStr">
        <is>
          <t>North America</t>
        </is>
      </c>
      <c r="B61" s="425" t="n"/>
      <c r="C61" s="425" t="n">
        <v>79785</v>
      </c>
      <c r="D61" s="425" t="n">
        <v>106110</v>
      </c>
      <c r="E61" s="425" t="n">
        <v>141366</v>
      </c>
      <c r="F61" s="425" t="n">
        <v>170773</v>
      </c>
      <c r="G61" s="425" t="n">
        <v>236282</v>
      </c>
      <c r="H61" s="425" t="n">
        <v>279833</v>
      </c>
      <c r="I61" s="425" t="n">
        <v>315880</v>
      </c>
      <c r="J61" s="425" t="n">
        <v>352828</v>
      </c>
      <c r="K61" s="425" t="n">
        <v>387497</v>
      </c>
      <c r="L61" s="425" t="n">
        <v>426305</v>
      </c>
      <c r="M61" s="261" t="n"/>
      <c r="N61" s="395" t="n">
        <v>86341</v>
      </c>
      <c r="O61" s="395" t="n">
        <v>90033</v>
      </c>
      <c r="P61" s="395" t="n">
        <v>95537</v>
      </c>
      <c r="Q61" s="395" t="n">
        <v>115586</v>
      </c>
      <c r="R61" s="395" t="n">
        <v>92887</v>
      </c>
      <c r="S61" s="395" t="n">
        <v>100068</v>
      </c>
      <c r="T61" s="395" t="n">
        <v>106267</v>
      </c>
      <c r="U61" s="395" t="n">
        <v>127083</v>
      </c>
      <c r="V61" s="395" t="n">
        <v>104143</v>
      </c>
      <c r="W61" s="395" t="n">
        <v>116177</v>
      </c>
      <c r="X61" s="395" t="n"/>
      <c r="Y61" s="395" t="n"/>
    </row>
    <row r="62">
      <c r="A62" s="263" t="inlineStr">
        <is>
          <t>International</t>
        </is>
      </c>
      <c r="B62" s="426" t="n"/>
      <c r="C62" s="426" t="n">
        <v>43983</v>
      </c>
      <c r="D62" s="426" t="n">
        <v>54297</v>
      </c>
      <c r="E62" s="426" t="n">
        <v>65866</v>
      </c>
      <c r="F62" s="426" t="n">
        <v>74723</v>
      </c>
      <c r="G62" s="426" t="n">
        <v>104412</v>
      </c>
      <c r="H62" s="426" t="n">
        <v>127787</v>
      </c>
      <c r="I62" s="426" t="n">
        <v>118007</v>
      </c>
      <c r="J62" s="426" t="n">
        <v>131200</v>
      </c>
      <c r="K62" s="426" t="n">
        <v>142906</v>
      </c>
      <c r="L62" s="426" t="n">
        <v>161894</v>
      </c>
      <c r="M62" s="261" t="n"/>
      <c r="N62" s="395" t="n">
        <v>31935</v>
      </c>
      <c r="O62" s="395" t="n">
        <v>31663</v>
      </c>
      <c r="P62" s="395" t="n">
        <v>35888</v>
      </c>
      <c r="Q62" s="395" t="n">
        <v>43420</v>
      </c>
      <c r="R62" s="395" t="n">
        <v>33513</v>
      </c>
      <c r="S62" s="395" t="n">
        <v>36761</v>
      </c>
      <c r="T62" s="395" t="n">
        <v>40896</v>
      </c>
      <c r="U62" s="395" t="n">
        <v>50724</v>
      </c>
      <c r="V62" s="395" t="n">
        <v>39789</v>
      </c>
      <c r="W62" s="395" t="n">
        <v>42197</v>
      </c>
      <c r="X62" s="395" t="n"/>
      <c r="Y62" s="395" t="n"/>
    </row>
    <row r="63">
      <c r="A63" s="259" t="inlineStr">
        <is>
          <t>AWS</t>
        </is>
      </c>
      <c r="B63" s="425" t="n"/>
      <c r="C63" s="425" t="n">
        <v>12219</v>
      </c>
      <c r="D63" s="425" t="n">
        <v>17459</v>
      </c>
      <c r="E63" s="425" t="n">
        <v>25655</v>
      </c>
      <c r="F63" s="425" t="n">
        <v>35026</v>
      </c>
      <c r="G63" s="425" t="n">
        <v>45370</v>
      </c>
      <c r="H63" s="425" t="n">
        <v>62202</v>
      </c>
      <c r="I63" s="425" t="n">
        <v>80096</v>
      </c>
      <c r="J63" s="425" t="n">
        <v>90757</v>
      </c>
      <c r="K63" s="425" t="n">
        <v>107556</v>
      </c>
      <c r="L63" s="425" t="n">
        <v>128725</v>
      </c>
      <c r="M63" s="261" t="n"/>
      <c r="N63" s="395" t="n">
        <v>25037</v>
      </c>
      <c r="O63" s="395" t="n">
        <v>26281</v>
      </c>
      <c r="P63" s="395" t="n">
        <v>27452</v>
      </c>
      <c r="Q63" s="395" t="n">
        <v>28786</v>
      </c>
      <c r="R63" s="395" t="n">
        <v>29267</v>
      </c>
      <c r="S63" s="395" t="n">
        <v>30873</v>
      </c>
      <c r="T63" s="395" t="n">
        <v>33006</v>
      </c>
      <c r="U63" s="395" t="n">
        <v>35579</v>
      </c>
      <c r="V63" s="395" t="n">
        <v>37587</v>
      </c>
      <c r="W63" s="395" t="n">
        <v>42232</v>
      </c>
      <c r="X63" s="395" t="n"/>
      <c r="Y63" s="395" t="n"/>
    </row>
    <row r="64">
      <c r="A64" s="263" t="inlineStr">
        <is>
          <t>Segment 4</t>
        </is>
      </c>
      <c r="B64" s="426" t="n"/>
      <c r="C64" s="426" t="n"/>
      <c r="D64" s="426" t="n"/>
      <c r="E64" s="426" t="n"/>
      <c r="F64" s="426" t="n"/>
      <c r="G64" s="426" t="n"/>
      <c r="H64" s="426" t="n"/>
      <c r="I64" s="426" t="n"/>
      <c r="J64" s="426" t="n"/>
      <c r="K64" s="426" t="n"/>
      <c r="L64" s="426" t="n"/>
      <c r="M64" s="261" t="n"/>
      <c r="N64" s="395" t="n"/>
      <c r="O64" s="395" t="n"/>
      <c r="P64" s="395" t="n"/>
      <c r="Q64" s="395" t="n"/>
      <c r="R64" s="395" t="n"/>
      <c r="S64" s="395" t="n"/>
      <c r="T64" s="395" t="n"/>
      <c r="U64" s="395" t="n"/>
      <c r="V64" s="395" t="n"/>
      <c r="W64" s="395" t="n"/>
      <c r="X64" s="395" t="n"/>
      <c r="Y64" s="395" t="n"/>
    </row>
    <row r="65">
      <c r="A65" s="259" t="inlineStr">
        <is>
          <t>Segment 5</t>
        </is>
      </c>
      <c r="B65" s="425" t="n"/>
      <c r="C65" s="425" t="n"/>
      <c r="D65" s="425" t="n"/>
      <c r="E65" s="425" t="n"/>
      <c r="F65" s="425" t="n"/>
      <c r="G65" s="425" t="n"/>
      <c r="H65" s="425" t="n"/>
      <c r="I65" s="425" t="n"/>
      <c r="J65" s="425" t="n"/>
      <c r="K65" s="425" t="n"/>
      <c r="L65" s="425" t="n"/>
      <c r="M65" s="261" t="n"/>
      <c r="N65" s="395" t="n"/>
      <c r="O65" s="395" t="n"/>
      <c r="P65" s="395" t="n"/>
      <c r="Q65" s="395" t="n"/>
      <c r="R65" s="395" t="n"/>
      <c r="S65" s="395" t="n"/>
      <c r="T65" s="395" t="n"/>
      <c r="U65" s="395" t="n"/>
      <c r="V65" s="395" t="n"/>
      <c r="W65" s="395" t="n"/>
      <c r="X65" s="395" t="n"/>
      <c r="Y65" s="395" t="n"/>
    </row>
    <row r="66">
      <c r="A66" s="263" t="inlineStr">
        <is>
          <t>Segment 6</t>
        </is>
      </c>
      <c r="B66" s="426" t="n"/>
      <c r="C66" s="426" t="n"/>
      <c r="D66" s="426" t="n"/>
      <c r="E66" s="426" t="n"/>
      <c r="F66" s="426" t="n"/>
      <c r="G66" s="426" t="n"/>
      <c r="H66" s="426" t="n"/>
      <c r="I66" s="426" t="n"/>
      <c r="J66" s="426" t="n"/>
      <c r="K66" s="426" t="n"/>
      <c r="L66" s="426" t="n"/>
      <c r="M66" s="261" t="n"/>
      <c r="N66" s="395" t="n"/>
      <c r="O66" s="395" t="n"/>
      <c r="P66" s="395" t="n"/>
      <c r="Q66" s="395" t="n"/>
      <c r="R66" s="395" t="n"/>
      <c r="S66" s="395" t="n"/>
      <c r="T66" s="395" t="n"/>
      <c r="U66" s="395" t="n"/>
      <c r="V66" s="395" t="n"/>
      <c r="W66" s="395" t="n"/>
      <c r="X66" s="395" t="n"/>
      <c r="Y66" s="395" t="n"/>
    </row>
    <row r="67">
      <c r="A67" s="259" t="inlineStr">
        <is>
          <t>Segment 7</t>
        </is>
      </c>
      <c r="B67" s="425" t="n"/>
      <c r="C67" s="425" t="n"/>
      <c r="D67" s="425" t="n"/>
      <c r="E67" s="425" t="n"/>
      <c r="F67" s="425" t="n"/>
      <c r="G67" s="425" t="n"/>
      <c r="H67" s="425" t="n"/>
      <c r="I67" s="425" t="n"/>
      <c r="J67" s="425" t="n"/>
      <c r="K67" s="425" t="n"/>
      <c r="L67" s="425" t="n"/>
      <c r="M67" s="261" t="n"/>
      <c r="N67" s="395" t="n"/>
      <c r="O67" s="395" t="n"/>
      <c r="P67" s="395" t="n"/>
      <c r="Q67" s="395" t="n"/>
      <c r="R67" s="395" t="n"/>
      <c r="S67" s="395" t="n"/>
      <c r="T67" s="395" t="n"/>
      <c r="U67" s="395" t="n"/>
      <c r="V67" s="395" t="n"/>
      <c r="W67" s="395" t="n"/>
      <c r="X67" s="395" t="n"/>
      <c r="Y67" s="395" t="n"/>
    </row>
    <row r="68">
      <c r="A68" s="263" t="inlineStr">
        <is>
          <t>Segment 8</t>
        </is>
      </c>
      <c r="B68" s="426" t="n"/>
      <c r="C68" s="426" t="n"/>
      <c r="D68" s="426" t="n"/>
      <c r="E68" s="426" t="n"/>
      <c r="F68" s="426" t="n"/>
      <c r="G68" s="426" t="n"/>
      <c r="H68" s="426" t="n"/>
      <c r="I68" s="426" t="n"/>
      <c r="J68" s="426" t="n"/>
      <c r="K68" s="426" t="n"/>
      <c r="L68" s="426" t="n"/>
      <c r="M68" s="261" t="n"/>
      <c r="N68" s="395" t="n"/>
      <c r="O68" s="395" t="n"/>
      <c r="P68" s="395" t="n"/>
      <c r="Q68" s="395" t="n"/>
      <c r="R68" s="395" t="n"/>
      <c r="S68" s="395" t="n"/>
      <c r="T68" s="395" t="n"/>
      <c r="U68" s="395" t="n"/>
      <c r="V68" s="395" t="n"/>
      <c r="W68" s="395" t="n"/>
      <c r="X68" s="395" t="n"/>
      <c r="Y68" s="395" t="n"/>
    </row>
    <row r="70">
      <c r="A70" s="227" t="inlineStr">
        <is>
          <t>Operating Income by Segment:</t>
        </is>
      </c>
    </row>
    <row r="71">
      <c r="A71" s="259" t="inlineStr">
        <is>
          <t>North America</t>
        </is>
      </c>
      <c r="B71" s="425" t="n"/>
      <c r="C71" s="425" t="n">
        <v>2361</v>
      </c>
      <c r="D71" s="425" t="n">
        <v>2837</v>
      </c>
      <c r="E71" s="425" t="n">
        <v>7267</v>
      </c>
      <c r="F71" s="425" t="n">
        <v>7033</v>
      </c>
      <c r="G71" s="425" t="n">
        <v>8651</v>
      </c>
      <c r="H71" s="425" t="n">
        <v>7271</v>
      </c>
      <c r="I71" s="425" t="n">
        <v>-2847</v>
      </c>
      <c r="J71" s="425" t="n">
        <v>14877</v>
      </c>
      <c r="K71" s="425" t="n">
        <v>24967</v>
      </c>
      <c r="L71" s="425" t="n">
        <v>29619</v>
      </c>
      <c r="M71" s="261" t="n"/>
      <c r="N71" s="395" t="n">
        <v>4983</v>
      </c>
      <c r="O71" s="395" t="n">
        <v>5065</v>
      </c>
      <c r="P71" s="395" t="n">
        <v>5663</v>
      </c>
      <c r="Q71" s="395" t="n">
        <v>9256</v>
      </c>
      <c r="R71" s="395" t="n">
        <v>5841</v>
      </c>
      <c r="S71" s="395" t="n">
        <v>7517</v>
      </c>
      <c r="T71" s="395" t="n">
        <v>4789</v>
      </c>
      <c r="U71" s="395" t="n">
        <v>11472</v>
      </c>
      <c r="V71" s="395" t="n">
        <v>8267</v>
      </c>
      <c r="W71" s="395" t="n">
        <v>9123</v>
      </c>
      <c r="X71" s="395" t="n"/>
      <c r="Y71" s="395" t="n"/>
    </row>
    <row r="72">
      <c r="A72" s="263" t="inlineStr">
        <is>
          <t>International</t>
        </is>
      </c>
      <c r="B72" s="426" t="n"/>
      <c r="C72" s="426" t="n">
        <v>-1283</v>
      </c>
      <c r="D72" s="426" t="n">
        <v>-3062</v>
      </c>
      <c r="E72" s="426" t="n">
        <v>-2142</v>
      </c>
      <c r="F72" s="426" t="n">
        <v>-1693</v>
      </c>
      <c r="G72" s="426" t="n">
        <v>717</v>
      </c>
      <c r="H72" s="426" t="n">
        <v>-924</v>
      </c>
      <c r="I72" s="426" t="n">
        <v>-7746</v>
      </c>
      <c r="J72" s="426" t="n">
        <v>-2656</v>
      </c>
      <c r="K72" s="426" t="n">
        <v>3792</v>
      </c>
      <c r="L72" s="426" t="n">
        <v>4750</v>
      </c>
      <c r="M72" s="261" t="n"/>
      <c r="N72" s="395" t="n">
        <v>903</v>
      </c>
      <c r="O72" s="395" t="n">
        <v>273</v>
      </c>
      <c r="P72" s="395" t="n">
        <v>1301</v>
      </c>
      <c r="Q72" s="395" t="n">
        <v>1315</v>
      </c>
      <c r="R72" s="395" t="n">
        <v>1017</v>
      </c>
      <c r="S72" s="395" t="n">
        <v>1494</v>
      </c>
      <c r="T72" s="395" t="n">
        <v>1199</v>
      </c>
      <c r="U72" s="395" t="n">
        <v>1040</v>
      </c>
      <c r="V72" s="395" t="n">
        <v>1424</v>
      </c>
      <c r="W72" s="395" t="n">
        <v>1717</v>
      </c>
      <c r="X72" s="395" t="n"/>
      <c r="Y72" s="395" t="n"/>
    </row>
    <row r="73">
      <c r="A73" s="259" t="inlineStr">
        <is>
          <t>AWS</t>
        </is>
      </c>
      <c r="B73" s="425" t="n"/>
      <c r="C73" s="425" t="n">
        <v>3108</v>
      </c>
      <c r="D73" s="425" t="n">
        <v>4331</v>
      </c>
      <c r="E73" s="425" t="n">
        <v>7296</v>
      </c>
      <c r="F73" s="425" t="n">
        <v>9201</v>
      </c>
      <c r="G73" s="425" t="n">
        <v>13531</v>
      </c>
      <c r="H73" s="425" t="n">
        <v>18532</v>
      </c>
      <c r="I73" s="425" t="n">
        <v>22841</v>
      </c>
      <c r="J73" s="425" t="n">
        <v>24631</v>
      </c>
      <c r="K73" s="425" t="n">
        <v>39834</v>
      </c>
      <c r="L73" s="425" t="n">
        <v>45606</v>
      </c>
      <c r="M73" s="261" t="n"/>
      <c r="N73" s="395" t="n">
        <v>9421</v>
      </c>
      <c r="O73" s="395" t="n">
        <v>9334</v>
      </c>
      <c r="P73" s="395" t="n">
        <v>10447</v>
      </c>
      <c r="Q73" s="395" t="n">
        <v>10632</v>
      </c>
      <c r="R73" s="395" t="n">
        <v>11547</v>
      </c>
      <c r="S73" s="395" t="n">
        <v>10160</v>
      </c>
      <c r="T73" s="395" t="n">
        <v>11434</v>
      </c>
      <c r="U73" s="395" t="n">
        <v>12465</v>
      </c>
      <c r="V73" s="395" t="n">
        <v>14161</v>
      </c>
      <c r="W73" s="395" t="n">
        <v>16621</v>
      </c>
      <c r="X73" s="395" t="n"/>
      <c r="Y73" s="395" t="n"/>
    </row>
    <row r="74">
      <c r="A74" s="263" t="inlineStr">
        <is>
          <t>Segment 4</t>
        </is>
      </c>
      <c r="B74" s="426" t="n"/>
      <c r="C74" s="426" t="n"/>
      <c r="D74" s="426" t="n"/>
      <c r="E74" s="426" t="n"/>
      <c r="F74" s="426" t="n"/>
      <c r="G74" s="426" t="n"/>
      <c r="H74" s="426" t="n"/>
      <c r="I74" s="426" t="n"/>
      <c r="J74" s="426" t="n"/>
      <c r="K74" s="426" t="n"/>
      <c r="L74" s="426" t="n"/>
      <c r="M74" s="261" t="n"/>
      <c r="N74" s="395" t="n"/>
      <c r="O74" s="395" t="n"/>
      <c r="P74" s="395" t="n"/>
      <c r="Q74" s="395" t="n"/>
      <c r="R74" s="395" t="n"/>
      <c r="S74" s="395" t="n"/>
      <c r="T74" s="395" t="n"/>
      <c r="U74" s="395" t="n"/>
      <c r="V74" s="395" t="n"/>
      <c r="W74" s="395" t="n"/>
      <c r="X74" s="395" t="n"/>
      <c r="Y74" s="395" t="n"/>
    </row>
    <row r="75">
      <c r="A75" s="259" t="inlineStr">
        <is>
          <t>Segment 5</t>
        </is>
      </c>
      <c r="B75" s="425" t="n"/>
      <c r="C75" s="425" t="n"/>
      <c r="D75" s="425" t="n"/>
      <c r="E75" s="425" t="n"/>
      <c r="F75" s="425" t="n"/>
      <c r="G75" s="425" t="n"/>
      <c r="H75" s="425" t="n"/>
      <c r="I75" s="425" t="n"/>
      <c r="J75" s="425" t="n"/>
      <c r="K75" s="425" t="n"/>
      <c r="L75" s="425" t="n"/>
      <c r="M75" s="261" t="n"/>
      <c r="N75" s="395" t="n"/>
      <c r="O75" s="395" t="n"/>
      <c r="P75" s="395" t="n"/>
      <c r="Q75" s="395" t="n"/>
      <c r="R75" s="395" t="n"/>
      <c r="S75" s="395" t="n"/>
      <c r="T75" s="395" t="n"/>
      <c r="U75" s="395" t="n"/>
      <c r="V75" s="395" t="n"/>
      <c r="W75" s="395" t="n"/>
      <c r="X75" s="395" t="n"/>
      <c r="Y75" s="395" t="n"/>
    </row>
    <row r="76">
      <c r="A76" s="263" t="inlineStr">
        <is>
          <t>Segment 6</t>
        </is>
      </c>
      <c r="B76" s="426" t="n"/>
      <c r="C76" s="426" t="n"/>
      <c r="D76" s="426" t="n"/>
      <c r="E76" s="426" t="n"/>
      <c r="F76" s="426" t="n"/>
      <c r="G76" s="426" t="n"/>
      <c r="H76" s="426" t="n"/>
      <c r="I76" s="426" t="n"/>
      <c r="J76" s="426" t="n"/>
      <c r="K76" s="426" t="n"/>
      <c r="L76" s="426" t="n"/>
      <c r="M76" s="261" t="n"/>
      <c r="N76" s="395" t="n"/>
      <c r="O76" s="395" t="n"/>
      <c r="P76" s="395" t="n"/>
      <c r="Q76" s="395" t="n"/>
      <c r="R76" s="395" t="n"/>
      <c r="S76" s="395" t="n"/>
      <c r="T76" s="395" t="n"/>
      <c r="U76" s="395" t="n"/>
      <c r="V76" s="395" t="n"/>
      <c r="W76" s="395" t="n"/>
      <c r="X76" s="395" t="n"/>
      <c r="Y76" s="395" t="n"/>
    </row>
    <row r="77">
      <c r="A77" s="259" t="inlineStr">
        <is>
          <t>Segment 7</t>
        </is>
      </c>
      <c r="B77" s="425" t="n"/>
      <c r="C77" s="425" t="n"/>
      <c r="D77" s="425" t="n"/>
      <c r="E77" s="425" t="n"/>
      <c r="F77" s="425" t="n"/>
      <c r="G77" s="425" t="n"/>
      <c r="H77" s="425" t="n"/>
      <c r="I77" s="425" t="n"/>
      <c r="J77" s="425" t="n"/>
      <c r="K77" s="425" t="n"/>
      <c r="L77" s="425" t="n"/>
      <c r="M77" s="261" t="n"/>
      <c r="N77" s="395" t="n"/>
      <c r="O77" s="395" t="n"/>
      <c r="P77" s="395" t="n"/>
      <c r="Q77" s="395" t="n"/>
      <c r="R77" s="395" t="n"/>
      <c r="S77" s="395" t="n"/>
      <c r="T77" s="395" t="n"/>
      <c r="U77" s="395" t="n"/>
      <c r="V77" s="395" t="n"/>
      <c r="W77" s="395" t="n"/>
      <c r="X77" s="395" t="n"/>
      <c r="Y77" s="395" t="n"/>
    </row>
    <row r="78">
      <c r="A78" s="263" t="inlineStr">
        <is>
          <t>Segment 8</t>
        </is>
      </c>
      <c r="B78" s="426" t="n"/>
      <c r="C78" s="426" t="n"/>
      <c r="D78" s="426" t="n"/>
      <c r="E78" s="426" t="n"/>
      <c r="F78" s="426" t="n"/>
      <c r="G78" s="426" t="n"/>
      <c r="H78" s="426" t="n"/>
      <c r="I78" s="426" t="n"/>
      <c r="J78" s="426" t="n"/>
      <c r="K78" s="426" t="n"/>
      <c r="L78" s="426" t="n"/>
      <c r="M78" s="261" t="n"/>
      <c r="N78" s="395" t="n"/>
      <c r="O78" s="395" t="n"/>
      <c r="P78" s="395" t="n"/>
      <c r="Q78" s="395" t="n"/>
      <c r="R78" s="395" t="n"/>
      <c r="S78" s="395" t="n"/>
      <c r="T78" s="395" t="n"/>
      <c r="U78" s="395" t="n"/>
      <c r="V78" s="395" t="n"/>
      <c r="W78" s="395" t="n"/>
      <c r="X78" s="395" t="n"/>
      <c r="Y78" s="395" t="n"/>
    </row>
    <row r="80">
      <c r="A80" s="227" t="inlineStr">
        <is>
          <t>Revenue by Geography:</t>
        </is>
      </c>
    </row>
    <row r="81">
      <c r="A81" s="259" t="inlineStr">
        <is>
          <t>Region 1</t>
        </is>
      </c>
      <c r="B81" s="425" t="n"/>
      <c r="C81" s="425" t="n"/>
      <c r="D81" s="425" t="n"/>
      <c r="E81" s="425" t="n"/>
      <c r="F81" s="425" t="n"/>
      <c r="G81" s="425" t="n"/>
      <c r="H81" s="425" t="n"/>
      <c r="I81" s="425" t="n"/>
      <c r="J81" s="425" t="n"/>
      <c r="K81" s="425" t="n"/>
      <c r="L81" s="425" t="n"/>
      <c r="M81" s="261" t="n"/>
      <c r="N81" s="395" t="n"/>
      <c r="O81" s="395" t="n"/>
      <c r="P81" s="395" t="n"/>
      <c r="Q81" s="395" t="n"/>
      <c r="R81" s="395" t="n"/>
      <c r="S81" s="395" t="n"/>
      <c r="T81" s="395" t="n"/>
      <c r="U81" s="395" t="n"/>
      <c r="V81" s="395" t="n"/>
      <c r="W81" s="395" t="n"/>
      <c r="X81" s="395" t="n"/>
      <c r="Y81" s="395" t="n"/>
    </row>
    <row r="82">
      <c r="A82" s="263" t="inlineStr">
        <is>
          <t>Region 2</t>
        </is>
      </c>
      <c r="B82" s="426" t="n"/>
      <c r="C82" s="426" t="n"/>
      <c r="D82" s="426" t="n"/>
      <c r="E82" s="426" t="n"/>
      <c r="F82" s="426" t="n"/>
      <c r="G82" s="426" t="n"/>
      <c r="H82" s="426" t="n"/>
      <c r="I82" s="426" t="n"/>
      <c r="J82" s="426" t="n"/>
      <c r="K82" s="426" t="n"/>
      <c r="L82" s="426" t="n"/>
      <c r="M82" s="261" t="n"/>
      <c r="N82" s="395" t="n"/>
      <c r="O82" s="395" t="n"/>
      <c r="P82" s="395" t="n"/>
      <c r="Q82" s="395" t="n"/>
      <c r="R82" s="395" t="n"/>
      <c r="S82" s="395" t="n"/>
      <c r="T82" s="395" t="n"/>
      <c r="U82" s="395" t="n"/>
      <c r="V82" s="395" t="n"/>
      <c r="W82" s="395" t="n"/>
      <c r="X82" s="395" t="n"/>
      <c r="Y82" s="395" t="n"/>
    </row>
    <row r="83">
      <c r="A83" s="259" t="inlineStr">
        <is>
          <t>Region 3</t>
        </is>
      </c>
      <c r="B83" s="425" t="n"/>
      <c r="C83" s="425" t="n"/>
      <c r="D83" s="425" t="n"/>
      <c r="E83" s="425" t="n"/>
      <c r="F83" s="425" t="n"/>
      <c r="G83" s="425" t="n"/>
      <c r="H83" s="425" t="n"/>
      <c r="I83" s="425" t="n"/>
      <c r="J83" s="425" t="n"/>
      <c r="K83" s="425" t="n"/>
      <c r="L83" s="425" t="n"/>
      <c r="M83" s="261" t="n"/>
      <c r="N83" s="395" t="n"/>
      <c r="O83" s="395" t="n"/>
      <c r="P83" s="395" t="n"/>
      <c r="Q83" s="395" t="n"/>
      <c r="R83" s="395" t="n"/>
      <c r="S83" s="395" t="n"/>
      <c r="T83" s="395" t="n"/>
      <c r="U83" s="395" t="n"/>
      <c r="V83" s="395" t="n"/>
      <c r="W83" s="395" t="n"/>
      <c r="X83" s="395" t="n"/>
      <c r="Y83" s="395" t="n"/>
    </row>
    <row r="84">
      <c r="A84" s="263" t="inlineStr">
        <is>
          <t>Region 4</t>
        </is>
      </c>
      <c r="B84" s="426" t="n"/>
      <c r="C84" s="426" t="n"/>
      <c r="D84" s="426" t="n"/>
      <c r="E84" s="426" t="n"/>
      <c r="F84" s="426" t="n"/>
      <c r="G84" s="426" t="n"/>
      <c r="H84" s="426" t="n"/>
      <c r="I84" s="426" t="n"/>
      <c r="J84" s="426" t="n"/>
      <c r="K84" s="426" t="n"/>
      <c r="L84" s="426" t="n"/>
      <c r="M84" s="261" t="n"/>
      <c r="N84" s="395" t="n"/>
      <c r="O84" s="395" t="n"/>
      <c r="P84" s="395" t="n"/>
      <c r="Q84" s="395" t="n"/>
      <c r="R84" s="395" t="n"/>
      <c r="S84" s="395" t="n"/>
      <c r="T84" s="395" t="n"/>
      <c r="U84" s="395" t="n"/>
      <c r="V84" s="395" t="n"/>
      <c r="W84" s="395" t="n"/>
      <c r="X84" s="395" t="n"/>
      <c r="Y84" s="395" t="n"/>
    </row>
    <row r="85">
      <c r="A85" s="259" t="inlineStr">
        <is>
          <t>Region 5</t>
        </is>
      </c>
      <c r="B85" s="425" t="n"/>
      <c r="C85" s="425" t="n"/>
      <c r="D85" s="425" t="n"/>
      <c r="E85" s="425" t="n"/>
      <c r="F85" s="425" t="n"/>
      <c r="G85" s="425" t="n"/>
      <c r="H85" s="425" t="n"/>
      <c r="I85" s="425" t="n"/>
      <c r="J85" s="425" t="n"/>
      <c r="K85" s="425" t="n"/>
      <c r="L85" s="425" t="n"/>
      <c r="M85" s="261" t="n"/>
      <c r="N85" s="395" t="n"/>
      <c r="O85" s="395" t="n"/>
      <c r="P85" s="395" t="n"/>
      <c r="Q85" s="395" t="n"/>
      <c r="R85" s="395" t="n"/>
      <c r="S85" s="395" t="n"/>
      <c r="T85" s="395" t="n"/>
      <c r="U85" s="395" t="n"/>
      <c r="V85" s="395" t="n"/>
      <c r="W85" s="395" t="n"/>
      <c r="X85" s="395" t="n"/>
      <c r="Y85" s="395" t="n"/>
    </row>
    <row r="86">
      <c r="A86" s="263" t="inlineStr">
        <is>
          <t>Region 6</t>
        </is>
      </c>
      <c r="B86" s="426" t="n"/>
      <c r="C86" s="426" t="n"/>
      <c r="D86" s="426" t="n"/>
      <c r="E86" s="426" t="n"/>
      <c r="F86" s="426" t="n"/>
      <c r="G86" s="426" t="n"/>
      <c r="H86" s="426" t="n"/>
      <c r="I86" s="426" t="n"/>
      <c r="J86" s="426" t="n"/>
      <c r="K86" s="426" t="n"/>
      <c r="L86" s="426" t="n"/>
      <c r="M86" s="261" t="n"/>
      <c r="N86" s="395" t="n"/>
      <c r="O86" s="395" t="n"/>
      <c r="P86" s="395" t="n"/>
      <c r="Q86" s="395" t="n"/>
      <c r="R86" s="395" t="n"/>
      <c r="S86" s="395" t="n"/>
      <c r="T86" s="395" t="n"/>
      <c r="U86" s="395" t="n"/>
      <c r="V86" s="395" t="n"/>
      <c r="W86" s="395" t="n"/>
      <c r="X86" s="395" t="n"/>
      <c r="Y86" s="395" t="n"/>
    </row>
    <row r="88" ht="19" customHeight="1" s="74">
      <c r="A88" s="226" t="inlineStr">
        <is>
          <t>SUPPLEMENTAL INPUTS  — analyst fills if disclosed</t>
        </is>
      </c>
    </row>
    <row r="89">
      <c r="A89" s="259" t="inlineStr">
        <is>
          <t>Operating Lease Liabilities ($M)</t>
        </is>
      </c>
      <c r="B89" s="425" t="n"/>
      <c r="C89" s="425" t="n"/>
      <c r="D89" s="425" t="n"/>
      <c r="E89" s="425" t="n"/>
      <c r="F89" s="425" t="n"/>
      <c r="G89" s="425" t="n"/>
      <c r="H89" s="425" t="n"/>
      <c r="I89" s="425" t="n"/>
      <c r="J89" s="425" t="n"/>
      <c r="K89" s="425" t="n"/>
      <c r="L89" s="425" t="n"/>
      <c r="M89" s="261" t="n"/>
      <c r="N89" s="261" t="n"/>
      <c r="O89" s="261" t="n"/>
      <c r="P89" s="261" t="n"/>
      <c r="Q89" s="261" t="n"/>
      <c r="R89" s="261" t="n"/>
      <c r="S89" s="261" t="n"/>
      <c r="T89" s="261" t="n"/>
      <c r="U89" s="261" t="n"/>
      <c r="V89" s="261" t="n"/>
      <c r="W89" s="261" t="n"/>
      <c r="X89" s="261" t="n"/>
      <c r="Y89" s="261" t="n"/>
    </row>
    <row r="90">
      <c r="A90" s="263" t="inlineStr">
        <is>
          <t>Maintenance CapEx ($M, est.)</t>
        </is>
      </c>
      <c r="B90" s="426" t="n"/>
      <c r="C90" s="426" t="n"/>
      <c r="D90" s="426" t="n"/>
      <c r="E90" s="426" t="n"/>
      <c r="F90" s="426" t="n"/>
      <c r="G90" s="426" t="n"/>
      <c r="H90" s="426" t="n"/>
      <c r="I90" s="426" t="n"/>
      <c r="J90" s="426" t="n"/>
      <c r="K90" s="426" t="n"/>
      <c r="L90" s="426" t="n"/>
      <c r="M90" s="261" t="n"/>
      <c r="N90" s="261" t="n"/>
      <c r="O90" s="261" t="n"/>
      <c r="P90" s="261" t="n"/>
      <c r="Q90" s="261" t="n"/>
      <c r="R90" s="261" t="n"/>
      <c r="S90" s="261" t="n"/>
      <c r="T90" s="261" t="n"/>
      <c r="U90" s="261" t="n"/>
      <c r="V90" s="261" t="n"/>
      <c r="W90" s="261" t="n"/>
      <c r="X90" s="261" t="n"/>
      <c r="Y90" s="261" t="n"/>
    </row>
  </sheetData>
  <mergeCells count="6">
    <mergeCell ref="A49:Y49"/>
    <mergeCell ref="A2:U2"/>
    <mergeCell ref="A88:L88"/>
    <mergeCell ref="A12:Y12"/>
    <mergeCell ref="A30:Y30"/>
    <mergeCell ref="A59:L59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FF1B7A2B"/>
    <outlinePr summaryBelow="1" summaryRight="1"/>
    <pageSetUpPr/>
  </sheetPr>
  <dimension ref="A1:M186"/>
  <sheetViews>
    <sheetView showGridLines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6" customWidth="1" style="74" min="1" max="1"/>
    <col width="14" customWidth="1" style="74" min="2" max="2"/>
    <col width="14" customWidth="1" style="74" min="3" max="3"/>
    <col width="14" customWidth="1" style="74" min="4" max="4"/>
    <col width="14" customWidth="1" style="74" min="5" max="5"/>
    <col width="14" customWidth="1" style="74" min="6" max="6"/>
    <col width="14" customWidth="1" style="74" min="7" max="7"/>
    <col width="14" customWidth="1" style="74" min="8" max="8"/>
    <col width="14" customWidth="1" style="74" min="9" max="9"/>
    <col width="14" customWidth="1" style="74" min="10" max="10"/>
    <col width="14" customWidth="1" style="74" min="11" max="11"/>
    <col hidden="1" width="13" customWidth="1" style="74" min="13" max="13"/>
  </cols>
  <sheetData>
    <row r="1" ht="57.75" customHeight="1" s="74">
      <c r="A1" s="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</row>
    <row r="2" ht="17" customHeight="1" s="74">
      <c r="A2" s="291" t="inlineStr">
        <is>
          <t>Colour key:</t>
        </is>
      </c>
      <c r="B2" s="292" t="inlineStr">
        <is>
          <t>Company filing</t>
        </is>
      </c>
      <c r="C2" s="166" t="n"/>
      <c r="D2" s="293" t="inlineStr">
        <is>
          <t>Online / market</t>
        </is>
      </c>
      <c r="E2" s="166" t="n"/>
      <c r="F2" s="370" t="inlineStr">
        <is>
          <t>Computed</t>
        </is>
      </c>
      <c r="G2" s="166" t="n"/>
      <c r="H2" s="295" t="inlineStr">
        <is>
          <t>Analyst input</t>
        </is>
      </c>
      <c r="I2" s="166" t="n"/>
      <c r="J2" s="166" t="n"/>
      <c r="K2" s="95" t="n"/>
      <c r="L2" s="95" t="n"/>
      <c r="M2" s="95" t="n"/>
    </row>
    <row r="3" ht="19" customHeight="1" s="74">
      <c r="A3" s="226" t="inlineStr">
        <is>
          <t>1. COST OF CAPITAL (WACC)</t>
        </is>
      </c>
    </row>
    <row r="4" ht="15" customHeight="1" s="74">
      <c r="A4" s="313" t="inlineStr">
        <is>
          <t>Risk-Free Rate (10Y UST)</t>
        </is>
      </c>
      <c r="B4" s="396" t="n">
        <v>0.0475</v>
      </c>
      <c r="C4" s="315" t="n"/>
      <c r="D4" s="315" t="n"/>
      <c r="E4" s="315" t="n"/>
      <c r="F4" s="315" t="n"/>
      <c r="G4" s="315" t="n"/>
      <c r="H4" s="315" t="n"/>
      <c r="I4" s="315" t="n"/>
      <c r="J4" s="315" t="n"/>
      <c r="K4" s="261" t="n"/>
    </row>
    <row r="5" ht="15" customHeight="1" s="74">
      <c r="A5" s="313" t="inlineStr">
        <is>
          <t>Equity Risk Premium (Damodaran)</t>
        </is>
      </c>
      <c r="B5" s="396" t="n">
        <v>0.0423</v>
      </c>
      <c r="C5" s="272" t="n"/>
      <c r="D5" s="272" t="n"/>
      <c r="E5" s="272" t="n"/>
      <c r="F5" s="272" t="n"/>
      <c r="G5" s="272" t="n"/>
      <c r="H5" s="272" t="n"/>
      <c r="I5" s="272" t="n"/>
      <c r="J5" s="272" t="n"/>
      <c r="K5" s="261" t="n"/>
    </row>
    <row r="6" ht="15" customHeight="1" s="74">
      <c r="A6" s="313" t="inlineStr">
        <is>
          <t>Beta (Levered)</t>
        </is>
      </c>
      <c r="B6" s="397" t="n">
        <v>1.45</v>
      </c>
      <c r="C6" s="315" t="n"/>
      <c r="D6" s="315" t="n"/>
      <c r="E6" s="315" t="n"/>
      <c r="F6" s="315" t="n"/>
      <c r="G6" s="315" t="n"/>
      <c r="H6" s="315" t="n"/>
      <c r="I6" s="315" t="n"/>
      <c r="J6" s="315" t="n"/>
      <c r="K6" s="261" t="n"/>
    </row>
    <row r="7" ht="15" customHeight="1" s="74">
      <c r="A7" s="313" t="inlineStr">
        <is>
          <t>Size Premium</t>
        </is>
      </c>
      <c r="B7" s="396" t="n">
        <v>0</v>
      </c>
      <c r="C7" s="272" t="n"/>
      <c r="D7" s="272" t="n"/>
      <c r="E7" s="272" t="n"/>
      <c r="F7" s="272" t="n"/>
      <c r="G7" s="272" t="n"/>
      <c r="H7" s="272" t="n"/>
      <c r="I7" s="272" t="n"/>
      <c r="J7" s="272" t="n"/>
      <c r="K7" s="261" t="n"/>
      <c r="M7" s="308" t="inlineStr">
        <is>
          <t xml:space="preserve">market-researcher | valuation-agent | as-of: </t>
        </is>
      </c>
    </row>
    <row r="8" ht="15" customHeight="1" s="74">
      <c r="A8" s="313" t="inlineStr">
        <is>
          <t>Company-Specific Risk Premium</t>
        </is>
      </c>
      <c r="B8" s="398" t="n">
        <v>0</v>
      </c>
      <c r="C8" s="315" t="n"/>
      <c r="D8" s="315" t="n"/>
      <c r="E8" s="315" t="n"/>
      <c r="F8" s="315" t="n"/>
      <c r="G8" s="315" t="n"/>
      <c r="H8" s="315" t="n"/>
      <c r="I8" s="315" t="n"/>
      <c r="J8" s="315" t="n"/>
      <c r="K8" s="261" t="n"/>
      <c r="M8" s="308" t="inlineStr">
        <is>
          <t xml:space="preserve">market-researcher | valuation-agent | as-of: </t>
        </is>
      </c>
    </row>
    <row r="9" ht="15" customHeight="1" s="74">
      <c r="A9" s="318" t="inlineStr">
        <is>
          <t>Cost of Equity (Ke)</t>
        </is>
      </c>
      <c r="B9" s="399">
        <f>IFERROR(B4+B6*(B5+B8)+B7,"-")</f>
        <v/>
      </c>
      <c r="C9" s="272" t="n"/>
      <c r="D9" s="272" t="n"/>
      <c r="E9" s="272" t="n"/>
      <c r="F9" s="272" t="n"/>
      <c r="G9" s="272" t="n"/>
      <c r="H9" s="272" t="n"/>
      <c r="I9" s="272" t="n"/>
      <c r="J9" s="272" t="n"/>
      <c r="K9" s="261" t="n"/>
      <c r="M9" s="308" t="inlineStr">
        <is>
          <t xml:space="preserve">market-researcher | valuation-agent | as-of: </t>
        </is>
      </c>
    </row>
    <row r="10" ht="15" customHeight="1" s="74">
      <c r="A10" s="313" t="inlineStr">
        <is>
          <t>Pre-tax Cost of Debt (Kd)</t>
        </is>
      </c>
      <c r="B10" s="400" t="n">
        <v>0.0361</v>
      </c>
      <c r="C10" s="315" t="n"/>
      <c r="D10" s="315" t="n"/>
      <c r="E10" s="315" t="n"/>
      <c r="F10" s="315" t="n"/>
      <c r="G10" s="315" t="n"/>
      <c r="H10" s="315" t="n"/>
      <c r="I10" s="315" t="n"/>
      <c r="J10" s="315" t="n"/>
      <c r="K10" s="261" t="n"/>
      <c r="M10" s="308" t="inlineStr">
        <is>
          <t xml:space="preserve">market-researcher | valuation-agent | as-of: </t>
        </is>
      </c>
    </row>
    <row r="11" ht="15" customHeight="1" s="74">
      <c r="A11" s="313" t="inlineStr">
        <is>
          <t>Marginal Tax Rate</t>
        </is>
      </c>
      <c r="B11" s="400" t="n">
        <v>0.23</v>
      </c>
      <c r="C11" s="272" t="n"/>
      <c r="D11" s="272" t="n"/>
      <c r="E11" s="272" t="n"/>
      <c r="F11" s="272" t="n"/>
      <c r="G11" s="272" t="n"/>
      <c r="H11" s="272" t="n"/>
      <c r="I11" s="272" t="n"/>
      <c r="J11" s="272" t="n"/>
      <c r="K11" s="261" t="n"/>
      <c r="M11" s="308" t="inlineStr">
        <is>
          <t xml:space="preserve">market-researcher | valuation-agent | as-of: </t>
        </is>
      </c>
    </row>
    <row r="12" ht="15" customHeight="1" s="74">
      <c r="A12" s="321" t="inlineStr">
        <is>
          <t>After-tax Cost of Debt</t>
        </is>
      </c>
      <c r="B12" s="399">
        <f>IFERROR(B10*(1-B11),"-")</f>
        <v/>
      </c>
      <c r="C12" s="315" t="n"/>
      <c r="D12" s="315" t="n"/>
      <c r="E12" s="315" t="n"/>
      <c r="F12" s="315" t="n"/>
      <c r="G12" s="315" t="n"/>
      <c r="H12" s="315" t="n"/>
      <c r="I12" s="315" t="n"/>
      <c r="J12" s="315" t="n"/>
      <c r="K12" s="261" t="n"/>
      <c r="M12" s="308" t="inlineStr">
        <is>
          <t xml:space="preserve">market-researcher | valuation-agent | as-of: </t>
        </is>
      </c>
    </row>
    <row r="13" ht="15" customHeight="1" s="74">
      <c r="A13" s="313" t="inlineStr">
        <is>
          <t>Debt / Total Capital (market)</t>
        </is>
      </c>
      <c r="B13" s="396" t="n">
        <v>0</v>
      </c>
      <c r="C13" s="272" t="n"/>
      <c r="D13" s="272" t="n"/>
      <c r="E13" s="272" t="n"/>
      <c r="F13" s="272" t="n"/>
      <c r="G13" s="272" t="n"/>
      <c r="H13" s="272" t="n"/>
      <c r="I13" s="272" t="n"/>
      <c r="J13" s="272" t="n"/>
      <c r="K13" s="261" t="n"/>
      <c r="M13" s="308" t="inlineStr">
        <is>
          <t xml:space="preserve">market-researcher | valuation-agent | as-of: </t>
        </is>
      </c>
    </row>
    <row r="14" ht="15" customHeight="1" s="74">
      <c r="A14" s="321" t="inlineStr">
        <is>
          <t>Equity / Total Capital (market)</t>
        </is>
      </c>
      <c r="B14" s="399">
        <f>IFERROR(1-B13,"-")</f>
        <v/>
      </c>
      <c r="C14" s="315" t="n"/>
      <c r="D14" s="315" t="n"/>
      <c r="E14" s="315" t="n"/>
      <c r="F14" s="315" t="n"/>
      <c r="G14" s="315" t="n"/>
      <c r="H14" s="315" t="n"/>
      <c r="I14" s="315" t="n"/>
      <c r="J14" s="315" t="n"/>
      <c r="K14" s="261" t="n"/>
      <c r="M14" s="308" t="inlineStr">
        <is>
          <t xml:space="preserve">market-researcher | valuation-agent | as-of: </t>
        </is>
      </c>
    </row>
    <row r="15" ht="15" customHeight="1" s="74">
      <c r="A15" s="318" t="inlineStr">
        <is>
          <t>WACC</t>
        </is>
      </c>
      <c r="B15" s="399">
        <f>IFERROR(B9*B14+B12*B13,"-")</f>
        <v/>
      </c>
      <c r="C15" s="272" t="n"/>
      <c r="D15" s="272" t="n"/>
      <c r="E15" s="272" t="n"/>
      <c r="F15" s="272" t="n"/>
      <c r="G15" s="272" t="n"/>
      <c r="H15" s="272" t="n"/>
      <c r="I15" s="272" t="n"/>
      <c r="J15" s="272" t="n"/>
      <c r="K15" s="261" t="n"/>
      <c r="M15" s="308" t="inlineStr">
        <is>
          <t xml:space="preserve">market-researcher | valuation-agent | as-of: </t>
        </is>
      </c>
    </row>
    <row r="16" ht="15" customHeight="1" s="74">
      <c r="A16" s="10" t="n"/>
      <c r="B16" s="10" t="n"/>
      <c r="C16" s="10" t="n"/>
      <c r="D16" s="10" t="n"/>
      <c r="E16" s="10" t="n"/>
      <c r="F16" s="10" t="n"/>
      <c r="G16" s="10" t="n"/>
      <c r="H16" s="10" t="n"/>
      <c r="I16" s="10" t="n"/>
      <c r="J16" s="10" t="n"/>
    </row>
    <row r="17" ht="19" customHeight="1" s="74">
      <c r="A17" s="226" t="inlineStr">
        <is>
          <t>2. DCF MODEL — BASE CASE</t>
        </is>
      </c>
    </row>
    <row r="18" ht="15" customHeight="1" s="74">
      <c r="A18" s="322" t="n"/>
      <c r="B18" s="322">
        <f>IFERROR((Data!L13+1)&amp;"E","-")</f>
        <v/>
      </c>
      <c r="C18" s="322">
        <f>IFERROR((Data!L13+2)&amp;"E","-")</f>
        <v/>
      </c>
      <c r="D18" s="322">
        <f>IFERROR((Data!L13+3)&amp;"E","-")</f>
        <v/>
      </c>
      <c r="E18" s="322">
        <f>IFERROR((Data!L13+4)&amp;"E","-")</f>
        <v/>
      </c>
      <c r="F18" s="322">
        <f>IFERROR((Data!L13+5)&amp;"E","-")</f>
        <v/>
      </c>
      <c r="G18" s="322" t="n"/>
      <c r="H18" s="315" t="n"/>
      <c r="I18" s="315" t="n"/>
      <c r="J18" s="315" t="n"/>
      <c r="K18" s="261" t="n"/>
    </row>
    <row r="19" ht="15" customHeight="1" s="74">
      <c r="A19" s="323" t="inlineStr">
        <is>
          <t>─ Assumptions (blue = inputs) ─</t>
        </is>
      </c>
      <c r="B19" s="324" t="n"/>
      <c r="C19" s="324" t="n"/>
      <c r="D19" s="324" t="n"/>
      <c r="E19" s="324" t="n"/>
      <c r="F19" s="324" t="n"/>
      <c r="G19" s="324" t="n"/>
      <c r="H19" s="272" t="n"/>
      <c r="I19" s="272" t="n"/>
      <c r="J19" s="272" t="n"/>
      <c r="K19" s="261" t="n"/>
    </row>
    <row r="20" ht="15" customHeight="1" s="74">
      <c r="A20" s="313" t="inlineStr">
        <is>
          <t>Revenue Growth Rate</t>
        </is>
      </c>
      <c r="B20" s="398" t="n">
        <v>0.11</v>
      </c>
      <c r="C20" s="401" t="n">
        <v>0.1</v>
      </c>
      <c r="D20" s="401" t="n">
        <v>0.09</v>
      </c>
      <c r="E20" s="401" t="n">
        <v>0.08</v>
      </c>
      <c r="F20" s="401" t="n">
        <v>0.07000000000000001</v>
      </c>
      <c r="G20" s="326" t="n"/>
      <c r="H20" s="315" t="n"/>
      <c r="I20" s="315" t="n"/>
      <c r="J20" s="315" t="n"/>
      <c r="K20" s="261" t="n"/>
      <c r="M20" s="308" t="inlineStr">
        <is>
          <t xml:space="preserve">market-researcher | valuation-agent | as-of: </t>
        </is>
      </c>
    </row>
    <row r="21" ht="15" customHeight="1" s="74">
      <c r="A21" s="313" t="inlineStr">
        <is>
          <t>EBITDA Margin</t>
        </is>
      </c>
      <c r="B21" s="398" t="n">
        <v>0.21</v>
      </c>
      <c r="C21" s="402" t="n">
        <v>0.22</v>
      </c>
      <c r="D21" s="402" t="n">
        <v>0.23</v>
      </c>
      <c r="E21" s="402" t="n">
        <v>0.24</v>
      </c>
      <c r="F21" s="402" t="n">
        <v>0.245</v>
      </c>
      <c r="G21" s="324" t="n"/>
      <c r="H21" s="272" t="n"/>
      <c r="I21" s="272" t="n"/>
      <c r="J21" s="272" t="n"/>
      <c r="K21" s="261" t="n"/>
      <c r="M21" s="308" t="inlineStr">
        <is>
          <t xml:space="preserve">market-researcher | valuation-agent | as-of: </t>
        </is>
      </c>
    </row>
    <row r="22" ht="15" customHeight="1" s="74">
      <c r="A22" s="313" t="inlineStr">
        <is>
          <t>D&amp;A / Revenue</t>
        </is>
      </c>
      <c r="B22" s="398" t="n">
        <v>0.095</v>
      </c>
      <c r="C22" s="401" t="n">
        <v>0.1</v>
      </c>
      <c r="D22" s="401" t="n">
        <v>0.103</v>
      </c>
      <c r="E22" s="401" t="n">
        <v>0.105</v>
      </c>
      <c r="F22" s="401" t="n">
        <v>0.105</v>
      </c>
      <c r="G22" s="326" t="n"/>
      <c r="H22" s="315" t="n"/>
      <c r="I22" s="315" t="n"/>
      <c r="J22" s="315" t="n"/>
      <c r="K22" s="261" t="n"/>
      <c r="M22" s="308" t="inlineStr">
        <is>
          <t xml:space="preserve">market-researcher | valuation-agent | as-of: </t>
        </is>
      </c>
    </row>
    <row r="23" ht="15" customHeight="1" s="74">
      <c r="A23" s="313" t="inlineStr">
        <is>
          <t>CapEx / Revenue</t>
        </is>
      </c>
      <c r="B23" s="398" t="n">
        <v>0.22</v>
      </c>
      <c r="C23" s="402" t="n">
        <v>0.19</v>
      </c>
      <c r="D23" s="402" t="n">
        <v>0.16</v>
      </c>
      <c r="E23" s="402" t="n">
        <v>0.14</v>
      </c>
      <c r="F23" s="402" t="n">
        <v>0.125</v>
      </c>
      <c r="G23" s="324" t="n"/>
      <c r="H23" s="272" t="n"/>
      <c r="I23" s="272" t="n"/>
      <c r="J23" s="272" t="n"/>
      <c r="K23" s="261" t="n"/>
      <c r="M23" s="308" t="inlineStr">
        <is>
          <t xml:space="preserve">market-researcher | valuation-agent | as-of: </t>
        </is>
      </c>
    </row>
    <row r="24" ht="15" customHeight="1" s="74">
      <c r="A24" s="313" t="inlineStr">
        <is>
          <t>Change in NWC / Revenue</t>
        </is>
      </c>
      <c r="B24" s="398" t="n">
        <v>-0.06</v>
      </c>
      <c r="C24" s="401" t="n">
        <v>-0.06</v>
      </c>
      <c r="D24" s="401" t="n">
        <v>-0.06</v>
      </c>
      <c r="E24" s="401" t="n">
        <v>-0.06</v>
      </c>
      <c r="F24" s="401" t="n">
        <v>-0.06</v>
      </c>
      <c r="G24" s="326" t="n"/>
      <c r="H24" s="315" t="n"/>
      <c r="I24" s="315" t="n"/>
      <c r="J24" s="315" t="n"/>
      <c r="K24" s="261" t="n"/>
      <c r="M24" s="308" t="inlineStr">
        <is>
          <t xml:space="preserve">market-researcher | valuation-agent | as-of: </t>
        </is>
      </c>
    </row>
    <row r="25" ht="15" customHeight="1" s="74">
      <c r="A25" s="313" t="inlineStr">
        <is>
          <t>Effective Tax Rate</t>
        </is>
      </c>
      <c r="B25" s="398" t="n">
        <v>0.23</v>
      </c>
      <c r="C25" s="402" t="n">
        <v>0.23</v>
      </c>
      <c r="D25" s="402" t="n">
        <v>0.23</v>
      </c>
      <c r="E25" s="402" t="n">
        <v>0.23</v>
      </c>
      <c r="F25" s="402" t="n">
        <v>0.23</v>
      </c>
      <c r="G25" s="324" t="n"/>
      <c r="H25" s="272" t="n"/>
      <c r="I25" s="272" t="n"/>
      <c r="J25" s="272" t="n"/>
      <c r="K25" s="261" t="n"/>
      <c r="M25" s="308" t="inlineStr">
        <is>
          <t xml:space="preserve">market-researcher | valuation-agent | as-of: </t>
        </is>
      </c>
    </row>
    <row r="26" ht="15" customHeight="1" s="74">
      <c r="A26" s="313" t="inlineStr">
        <is>
          <t>Terminal Growth Rate</t>
        </is>
      </c>
      <c r="B26" s="398" t="n">
        <v>0.035</v>
      </c>
      <c r="C26" s="401" t="n"/>
      <c r="D26" s="401" t="n"/>
      <c r="E26" s="401" t="n"/>
      <c r="F26" s="401" t="n"/>
      <c r="G26" s="401" t="n"/>
      <c r="H26" s="315" t="n"/>
      <c r="I26" s="315" t="n"/>
      <c r="J26" s="315" t="n"/>
      <c r="K26" s="261" t="n"/>
      <c r="M26" s="308" t="inlineStr">
        <is>
          <t xml:space="preserve">market-researcher | valuation-agent | as-of: </t>
        </is>
      </c>
    </row>
    <row r="27" ht="15" customHeight="1" s="74">
      <c r="A27" s="313" t="inlineStr">
        <is>
          <t>Exit EV/EBITDA Multiple</t>
        </is>
      </c>
      <c r="B27" s="403" t="n">
        <v>14</v>
      </c>
      <c r="C27" s="404" t="n"/>
      <c r="D27" s="404" t="n"/>
      <c r="E27" s="404" t="n"/>
      <c r="F27" s="404" t="n"/>
      <c r="G27" s="404" t="n"/>
      <c r="H27" s="272" t="n"/>
      <c r="I27" s="272" t="n"/>
      <c r="J27" s="272" t="n"/>
      <c r="K27" s="261" t="n"/>
      <c r="M27" s="308" t="inlineStr">
        <is>
          <t xml:space="preserve">market-researcher | valuation-agent | as-of: </t>
        </is>
      </c>
    </row>
    <row r="28" ht="15" customHeight="1" s="74">
      <c r="A28" s="10" t="n"/>
      <c r="B28" s="10" t="n"/>
      <c r="C28" s="10" t="n"/>
      <c r="D28" s="10" t="n"/>
      <c r="E28" s="10" t="n"/>
      <c r="F28" s="10" t="n"/>
      <c r="G28" s="10" t="n"/>
      <c r="H28" s="10" t="n"/>
      <c r="I28" s="10" t="n"/>
      <c r="J28" s="10" t="n"/>
    </row>
    <row r="29" ht="15" customHeight="1" s="74">
      <c r="A29" s="323" t="inlineStr">
        <is>
          <t>─ Projected Financials ($M) ─</t>
        </is>
      </c>
      <c r="B29" s="405" t="n"/>
      <c r="C29" s="324" t="n"/>
      <c r="D29" s="324" t="n"/>
      <c r="E29" s="324" t="n"/>
      <c r="F29" s="324" t="n"/>
      <c r="G29" s="324" t="n"/>
      <c r="H29" s="272" t="n"/>
      <c r="I29" s="272" t="n"/>
      <c r="J29" s="272" t="n"/>
      <c r="K29" s="261" t="n"/>
    </row>
    <row r="30" ht="15" customHeight="1" s="74">
      <c r="A30" s="331" t="inlineStr">
        <is>
          <t>Base Revenue (latest FY)</t>
        </is>
      </c>
      <c r="B30" s="406">
        <f>IFERROR(Data!L14,"-")</f>
        <v/>
      </c>
      <c r="C30" s="326" t="n"/>
      <c r="D30" s="326" t="n"/>
      <c r="E30" s="326" t="n"/>
      <c r="F30" s="326" t="n"/>
      <c r="G30" s="326" t="n"/>
      <c r="H30" s="315" t="n"/>
      <c r="I30" s="315" t="n"/>
      <c r="J30" s="315" t="n"/>
      <c r="K30" s="261" t="n"/>
      <c r="M30" s="308" t="inlineStr">
        <is>
          <t xml:space="preserve">market-researcher | valuation-agent | as-of: </t>
        </is>
      </c>
    </row>
    <row r="31" ht="15" customHeight="1" s="74">
      <c r="A31" s="318" t="inlineStr">
        <is>
          <t>Projected Revenue</t>
        </is>
      </c>
      <c r="B31" s="407">
        <f>IFERROR(B30*(1+B20),"-")</f>
        <v/>
      </c>
      <c r="C31" s="334">
        <f>IFERROR(B31*(1+C20),"-")</f>
        <v/>
      </c>
      <c r="D31" s="334">
        <f>IFERROR(C31*(1+D20),"-")</f>
        <v/>
      </c>
      <c r="E31" s="334">
        <f>IFERROR(D31*(1+E20),"-")</f>
        <v/>
      </c>
      <c r="F31" s="334">
        <f>IFERROR(E31*(1+F20),"-")</f>
        <v/>
      </c>
      <c r="G31" s="324" t="n"/>
      <c r="H31" s="272" t="n"/>
      <c r="I31" s="272" t="n"/>
      <c r="J31" s="272" t="n"/>
      <c r="K31" s="261" t="n"/>
      <c r="M31" s="308" t="inlineStr">
        <is>
          <t xml:space="preserve">market-researcher | valuation-agent | as-of: </t>
        </is>
      </c>
    </row>
    <row r="32" ht="15" customHeight="1" s="74">
      <c r="A32" s="321" t="inlineStr">
        <is>
          <t>Projected EBITDA</t>
        </is>
      </c>
      <c r="B32" s="407">
        <f>IFERROR(B31*B21,"-")</f>
        <v/>
      </c>
      <c r="C32" s="335">
        <f>IFERROR(C31*C21,"-")</f>
        <v/>
      </c>
      <c r="D32" s="335">
        <f>IFERROR(D31*D21,"-")</f>
        <v/>
      </c>
      <c r="E32" s="335">
        <f>IFERROR(E31*E21,"-")</f>
        <v/>
      </c>
      <c r="F32" s="335">
        <f>IFERROR(F31*F21,"-")</f>
        <v/>
      </c>
      <c r="G32" s="326" t="n"/>
      <c r="H32" s="315" t="n"/>
      <c r="I32" s="315" t="n"/>
      <c r="J32" s="315" t="n"/>
      <c r="K32" s="261" t="n"/>
      <c r="M32" s="308" t="inlineStr">
        <is>
          <t xml:space="preserve">market-researcher | valuation-agent | as-of: </t>
        </is>
      </c>
    </row>
    <row r="33" ht="15" customHeight="1" s="74">
      <c r="A33" s="318" t="inlineStr">
        <is>
          <t>Projected D&amp;A</t>
        </is>
      </c>
      <c r="B33" s="407">
        <f>IFERROR(B31*B22,"-")</f>
        <v/>
      </c>
      <c r="C33" s="334">
        <f>IFERROR(C31*C22,"-")</f>
        <v/>
      </c>
      <c r="D33" s="334">
        <f>IFERROR(D31*D22,"-")</f>
        <v/>
      </c>
      <c r="E33" s="334">
        <f>IFERROR(E31*E22,"-")</f>
        <v/>
      </c>
      <c r="F33" s="334">
        <f>IFERROR(F31*F22,"-")</f>
        <v/>
      </c>
      <c r="G33" s="324" t="n"/>
      <c r="H33" s="272" t="n"/>
      <c r="I33" s="272" t="n"/>
      <c r="J33" s="272" t="n"/>
      <c r="K33" s="261" t="n"/>
    </row>
    <row r="34" ht="15" customHeight="1" s="74">
      <c r="A34" s="321" t="inlineStr">
        <is>
          <t>Projected EBIT</t>
        </is>
      </c>
      <c r="B34" s="407">
        <f>IFERROR(B32-B33,"-")</f>
        <v/>
      </c>
      <c r="C34" s="335">
        <f>IFERROR(C32-C33,"-")</f>
        <v/>
      </c>
      <c r="D34" s="335">
        <f>IFERROR(D32-D33,"-")</f>
        <v/>
      </c>
      <c r="E34" s="335">
        <f>IFERROR(E32-E33,"-")</f>
        <v/>
      </c>
      <c r="F34" s="335">
        <f>IFERROR(F32-F33,"-")</f>
        <v/>
      </c>
      <c r="G34" s="326" t="n"/>
      <c r="H34" s="315" t="n"/>
      <c r="I34" s="315" t="n"/>
      <c r="J34" s="315" t="n"/>
      <c r="K34" s="261" t="n"/>
      <c r="M34" s="308" t="inlineStr">
        <is>
          <t xml:space="preserve">market-researcher | valuation-agent | as-of: </t>
        </is>
      </c>
    </row>
    <row r="35" ht="15" customHeight="1" s="74">
      <c r="A35" s="318" t="inlineStr">
        <is>
          <t>Tax on EBIT</t>
        </is>
      </c>
      <c r="B35" s="407">
        <f>IFERROR(B34*B25,"-")</f>
        <v/>
      </c>
      <c r="C35" s="334">
        <f>IFERROR(C34*C25,"-")</f>
        <v/>
      </c>
      <c r="D35" s="334">
        <f>IFERROR(D34*D25,"-")</f>
        <v/>
      </c>
      <c r="E35" s="334">
        <f>IFERROR(E34*E25,"-")</f>
        <v/>
      </c>
      <c r="F35" s="334">
        <f>IFERROR(F34*F25,"-")</f>
        <v/>
      </c>
      <c r="G35" s="324" t="n"/>
      <c r="H35" s="272" t="n"/>
      <c r="I35" s="272" t="n"/>
      <c r="J35" s="272" t="n"/>
      <c r="K35" s="261" t="n"/>
    </row>
    <row r="36" ht="15" customHeight="1" s="74">
      <c r="A36" s="331" t="inlineStr">
        <is>
          <t>NOPAT (EBIT × (1-t))</t>
        </is>
      </c>
      <c r="B36" s="406">
        <f>IFERROR(B34-B35,"-")</f>
        <v/>
      </c>
      <c r="C36" s="336">
        <f>IFERROR(C34-C35,"-")</f>
        <v/>
      </c>
      <c r="D36" s="336">
        <f>IFERROR(D34-D35,"-")</f>
        <v/>
      </c>
      <c r="E36" s="336">
        <f>IFERROR(E34-E35,"-")</f>
        <v/>
      </c>
      <c r="F36" s="336">
        <f>IFERROR(F34-F35,"-")</f>
        <v/>
      </c>
      <c r="G36" s="326" t="n"/>
      <c r="H36" s="315" t="n"/>
      <c r="I36" s="315" t="n"/>
      <c r="J36" s="315" t="n"/>
      <c r="K36" s="261" t="n"/>
      <c r="M36" s="308" t="inlineStr">
        <is>
          <t xml:space="preserve">market-researcher | valuation-agent | as-of: </t>
        </is>
      </c>
    </row>
    <row r="37" ht="15" customHeight="1" s="74">
      <c r="A37" s="318" t="inlineStr">
        <is>
          <t>(+) D&amp;A</t>
        </is>
      </c>
      <c r="B37" s="407">
        <f>IFERROR(B33,"-")</f>
        <v/>
      </c>
      <c r="C37" s="334">
        <f>IFERROR(C33,"-")</f>
        <v/>
      </c>
      <c r="D37" s="334">
        <f>IFERROR(D33,"-")</f>
        <v/>
      </c>
      <c r="E37" s="334">
        <f>IFERROR(E33,"-")</f>
        <v/>
      </c>
      <c r="F37" s="334">
        <f>IFERROR(F33,"-")</f>
        <v/>
      </c>
      <c r="G37" s="324" t="n"/>
      <c r="H37" s="272" t="n"/>
      <c r="I37" s="272" t="n"/>
      <c r="J37" s="272" t="n"/>
      <c r="K37" s="261" t="n"/>
    </row>
    <row r="38" ht="15" customHeight="1" s="74">
      <c r="A38" s="321" t="inlineStr">
        <is>
          <t>(-) Capital Expenditures</t>
        </is>
      </c>
      <c r="B38" s="407">
        <f>IFERROR(B31*B23,"-")</f>
        <v/>
      </c>
      <c r="C38" s="335">
        <f>IFERROR(C31*C23,"-")</f>
        <v/>
      </c>
      <c r="D38" s="335">
        <f>IFERROR(D31*D23,"-")</f>
        <v/>
      </c>
      <c r="E38" s="335">
        <f>IFERROR(E31*E23,"-")</f>
        <v/>
      </c>
      <c r="F38" s="335">
        <f>IFERROR(F31*F23,"-")</f>
        <v/>
      </c>
      <c r="G38" s="326" t="n"/>
      <c r="H38" s="315" t="n"/>
      <c r="I38" s="315" t="n"/>
      <c r="J38" s="315" t="n"/>
      <c r="K38" s="261" t="n"/>
    </row>
    <row r="39" ht="15" customHeight="1" s="74">
      <c r="A39" s="318" t="inlineStr">
        <is>
          <t>(-) Change in NWC</t>
        </is>
      </c>
      <c r="B39" s="407">
        <f>IFERROR((B31-B30)*B24,"-")</f>
        <v/>
      </c>
      <c r="C39" s="334">
        <f>IFERROR((C31-B31)*C24,"-")</f>
        <v/>
      </c>
      <c r="D39" s="334">
        <f>IFERROR((D31-C31)*D24,"-")</f>
        <v/>
      </c>
      <c r="E39" s="334">
        <f>IFERROR((E31-D31)*E24,"-")</f>
        <v/>
      </c>
      <c r="F39" s="334">
        <f>IFERROR((F31-E31)*F24,"-")</f>
        <v/>
      </c>
      <c r="G39" s="324" t="n"/>
      <c r="H39" s="272" t="n"/>
      <c r="I39" s="272" t="n"/>
      <c r="J39" s="272" t="n"/>
      <c r="K39" s="261" t="n"/>
    </row>
    <row r="40" ht="15" customHeight="1" s="74">
      <c r="A40" s="331" t="inlineStr">
        <is>
          <t>Unlevered Free Cash Flow (UFCF)</t>
        </is>
      </c>
      <c r="B40" s="406">
        <f>IFERROR(B36+B37-B38-B39,"-")</f>
        <v/>
      </c>
      <c r="C40" s="336">
        <f>IFERROR(C36+C37-C38-C39,"-")</f>
        <v/>
      </c>
      <c r="D40" s="336">
        <f>IFERROR(D36+D37-D38-D39,"-")</f>
        <v/>
      </c>
      <c r="E40" s="336">
        <f>IFERROR(E36+E37-E38-E39,"-")</f>
        <v/>
      </c>
      <c r="F40" s="336">
        <f>IFERROR(F36+F37-F38-F39,"-")</f>
        <v/>
      </c>
      <c r="G40" s="326" t="n"/>
      <c r="H40" s="315" t="n"/>
      <c r="I40" s="315" t="n"/>
      <c r="J40" s="315" t="n"/>
      <c r="K40" s="261" t="n"/>
      <c r="M40" s="308" t="inlineStr">
        <is>
          <t xml:space="preserve">market-researcher | valuation-agent | as-of: </t>
        </is>
      </c>
    </row>
    <row r="41">
      <c r="A41" s="2" t="n"/>
      <c r="B41" s="408" t="n"/>
      <c r="C41" s="2" t="n"/>
      <c r="D41" s="2" t="n"/>
      <c r="E41" s="2" t="n"/>
      <c r="F41" s="2" t="n"/>
      <c r="G41" s="2" t="n"/>
      <c r="H41" s="2" t="n"/>
      <c r="I41" s="2" t="n"/>
      <c r="J41" s="2" t="n"/>
    </row>
    <row r="42" ht="15" customHeight="1" s="74">
      <c r="A42" s="337" t="inlineStr">
        <is>
          <t>─ Terminal Value ─</t>
        </is>
      </c>
      <c r="B42" s="405" t="n"/>
      <c r="C42" s="326" t="n"/>
      <c r="D42" s="326" t="n"/>
      <c r="E42" s="326" t="n"/>
      <c r="F42" s="326" t="n"/>
      <c r="G42" s="326" t="n"/>
      <c r="H42" s="315" t="n"/>
      <c r="I42" s="315" t="n"/>
      <c r="J42" s="315" t="n"/>
      <c r="K42" s="261" t="n"/>
    </row>
    <row r="43" ht="15" customHeight="1" s="74">
      <c r="A43" s="318" t="inlineStr">
        <is>
          <t>TV: Perpetuity Growth Method</t>
        </is>
      </c>
      <c r="B43" s="407">
        <f>IFERROR(F40*(1+B26)/($B$15-B26),"-")</f>
        <v/>
      </c>
      <c r="C43" s="324" t="n"/>
      <c r="D43" s="324" t="n"/>
      <c r="E43" s="324" t="n"/>
      <c r="F43" s="324" t="n"/>
      <c r="G43" s="324" t="n"/>
      <c r="H43" s="272" t="n"/>
      <c r="I43" s="272" t="n"/>
      <c r="J43" s="272" t="n"/>
      <c r="K43" s="261" t="n"/>
      <c r="M43" s="308" t="inlineStr">
        <is>
          <t xml:space="preserve">market-researcher | valuation-agent | as-of: </t>
        </is>
      </c>
    </row>
    <row r="44" ht="15" customHeight="1" s="74">
      <c r="A44" s="321" t="inlineStr">
        <is>
          <t>TV: Exit Multiple Method</t>
        </is>
      </c>
      <c r="B44" s="407">
        <f>IFERROR(F32*B27,"-")</f>
        <v/>
      </c>
      <c r="C44" s="326" t="n"/>
      <c r="D44" s="326" t="n"/>
      <c r="E44" s="326" t="n"/>
      <c r="F44" s="326" t="n"/>
      <c r="G44" s="326" t="n"/>
      <c r="H44" s="315" t="n"/>
      <c r="I44" s="315" t="n"/>
      <c r="J44" s="315" t="n"/>
      <c r="K44" s="261" t="n"/>
      <c r="M44" s="308" t="inlineStr">
        <is>
          <t xml:space="preserve">market-researcher | valuation-agent | as-of: </t>
        </is>
      </c>
    </row>
    <row r="45" ht="15" customHeight="1" s="74">
      <c r="A45" s="318" t="inlineStr">
        <is>
          <t>TV Divergence (%)</t>
        </is>
      </c>
      <c r="B45" s="409">
        <f>IFERROR((B43-B44)/B44,"-")</f>
        <v/>
      </c>
      <c r="C45" s="324" t="n"/>
      <c r="D45" s="324" t="n"/>
      <c r="E45" s="324" t="n"/>
      <c r="F45" s="324" t="n"/>
      <c r="G45" s="324" t="n"/>
      <c r="H45" s="272" t="n"/>
      <c r="I45" s="272" t="n"/>
      <c r="J45" s="272" t="n"/>
      <c r="K45" s="261" t="n"/>
    </row>
    <row r="46" ht="15" customHeight="1" s="74">
      <c r="A46" s="331" t="inlineStr">
        <is>
          <t>Selected Terminal Value (exit multiple)</t>
        </is>
      </c>
      <c r="B46" s="406">
        <f>IFERROR(B44,"-")</f>
        <v/>
      </c>
      <c r="C46" s="326" t="n"/>
      <c r="D46" s="326" t="n"/>
      <c r="E46" s="326" t="n"/>
      <c r="F46" s="326" t="n"/>
      <c r="G46" s="326" t="n"/>
      <c r="H46" s="315" t="n"/>
      <c r="I46" s="315" t="n"/>
      <c r="J46" s="315" t="n"/>
      <c r="K46" s="261" t="n"/>
      <c r="M46" s="308" t="n"/>
    </row>
    <row r="47" ht="15" customHeight="1" s="74">
      <c r="A47" s="318" t="inlineStr">
        <is>
          <t>Implied TV / EBITDA_5</t>
        </is>
      </c>
      <c r="B47" s="410">
        <f>IFERROR(B46/F32,"-")</f>
        <v/>
      </c>
      <c r="C47" s="324" t="n"/>
      <c r="D47" s="324" t="n"/>
      <c r="E47" s="324" t="n"/>
      <c r="F47" s="324" t="n"/>
      <c r="G47" s="324" t="n"/>
      <c r="H47" s="272" t="n"/>
      <c r="I47" s="272" t="n"/>
      <c r="J47" s="272" t="n"/>
      <c r="K47" s="261" t="n"/>
    </row>
    <row r="48" ht="15" customHeight="1" s="74">
      <c r="A48" s="321" t="inlineStr">
        <is>
          <t>Terminal Value as % of EV</t>
        </is>
      </c>
      <c r="B48" s="411">
        <f>IFERROR(B54/B55,"-")</f>
        <v/>
      </c>
      <c r="C48" s="326" t="n"/>
      <c r="D48" s="326" t="n"/>
      <c r="E48" s="326" t="n"/>
      <c r="F48" s="326" t="n"/>
      <c r="G48" s="326" t="n"/>
      <c r="H48" s="315" t="n"/>
      <c r="I48" s="315" t="n"/>
      <c r="J48" s="315" t="n"/>
      <c r="K48" s="261" t="n"/>
      <c r="M48" s="308" t="inlineStr">
        <is>
          <t xml:space="preserve">market-researcher | valuation-agent | as-of: </t>
        </is>
      </c>
    </row>
    <row r="49">
      <c r="A49" s="2" t="n"/>
      <c r="B49" s="408" t="n"/>
      <c r="C49" s="2" t="n"/>
      <c r="D49" s="2" t="n"/>
      <c r="E49" s="2" t="n"/>
      <c r="F49" s="2" t="n"/>
      <c r="G49" s="2" t="n"/>
      <c r="H49" s="2" t="n"/>
      <c r="I49" s="2" t="n"/>
      <c r="J49" s="2" t="n"/>
    </row>
    <row r="50" ht="15" customHeight="1" s="74">
      <c r="A50" s="337" t="inlineStr">
        <is>
          <t>─ Present Value &amp; Equity Bridge ─</t>
        </is>
      </c>
      <c r="B50" s="405" t="n"/>
      <c r="C50" s="326" t="n"/>
      <c r="D50" s="326" t="n"/>
      <c r="E50" s="326" t="n"/>
      <c r="F50" s="326" t="n"/>
      <c r="G50" s="326" t="n"/>
      <c r="H50" s="315" t="n"/>
      <c r="I50" s="315" t="n"/>
      <c r="J50" s="315" t="n"/>
      <c r="K50" s="261" t="n"/>
    </row>
    <row r="51" ht="15" customHeight="1" s="74">
      <c r="A51" s="318" t="inlineStr">
        <is>
          <t>Discount Factor (1/(1+WACC)^n)</t>
        </is>
      </c>
      <c r="B51" s="412">
        <f>IFERROR(1/(1+$B$15)^1,"-")</f>
        <v/>
      </c>
      <c r="C51" s="342">
        <f>IFERROR(1/(1+$B$15)^2,"-")</f>
        <v/>
      </c>
      <c r="D51" s="342">
        <f>IFERROR(1/(1+$B$15)^3,"-")</f>
        <v/>
      </c>
      <c r="E51" s="342">
        <f>IFERROR(1/(1+$B$15)^4,"-")</f>
        <v/>
      </c>
      <c r="F51" s="342">
        <f>IFERROR(1/(1+$B$15)^5,"-")</f>
        <v/>
      </c>
      <c r="G51" s="324" t="n"/>
      <c r="H51" s="272" t="n"/>
      <c r="I51" s="272" t="n"/>
      <c r="J51" s="272" t="n"/>
      <c r="K51" s="261" t="n"/>
    </row>
    <row r="52" ht="15" customHeight="1" s="74">
      <c r="A52" s="321" t="inlineStr">
        <is>
          <t>PV of UFCF</t>
        </is>
      </c>
      <c r="B52" s="407">
        <f>IFERROR(B40*B51,"-")</f>
        <v/>
      </c>
      <c r="C52" s="335">
        <f>IFERROR(C40*C51,"-")</f>
        <v/>
      </c>
      <c r="D52" s="335">
        <f>IFERROR(D40*D51,"-")</f>
        <v/>
      </c>
      <c r="E52" s="335">
        <f>IFERROR(E40*E51,"-")</f>
        <v/>
      </c>
      <c r="F52" s="335">
        <f>IFERROR(F40*F51,"-")</f>
        <v/>
      </c>
      <c r="G52" s="326" t="n"/>
      <c r="H52" s="315" t="n"/>
      <c r="I52" s="315" t="n"/>
      <c r="J52" s="315" t="n"/>
      <c r="K52" s="261" t="n"/>
      <c r="M52" s="308" t="inlineStr">
        <is>
          <t xml:space="preserve">market-researcher | valuation-agent | as-of: </t>
        </is>
      </c>
    </row>
    <row r="53" ht="15" customHeight="1" s="74">
      <c r="A53" s="343" t="inlineStr">
        <is>
          <t>Sum of PV of UFCFs</t>
        </is>
      </c>
      <c r="B53" s="406">
        <f>IFERROR(B52+C52+D52+E52+F52,"-")</f>
        <v/>
      </c>
      <c r="C53" s="324" t="n"/>
      <c r="D53" s="324" t="n"/>
      <c r="E53" s="324" t="n"/>
      <c r="F53" s="324" t="n"/>
      <c r="G53" s="324" t="n"/>
      <c r="H53" s="272" t="n"/>
      <c r="I53" s="272" t="n"/>
      <c r="J53" s="272" t="n"/>
      <c r="K53" s="261" t="n"/>
      <c r="M53" s="308" t="inlineStr">
        <is>
          <t xml:space="preserve">market-researcher | valuation-agent | as-of: </t>
        </is>
      </c>
    </row>
    <row r="54" ht="15" customHeight="1" s="74">
      <c r="A54" s="321" t="inlineStr">
        <is>
          <t>PV of Terminal Value</t>
        </is>
      </c>
      <c r="B54" s="407">
        <f>IFERROR(B46*F51,"-")</f>
        <v/>
      </c>
      <c r="C54" s="326" t="n"/>
      <c r="D54" s="326" t="n"/>
      <c r="E54" s="326" t="n"/>
      <c r="F54" s="326" t="n"/>
      <c r="G54" s="326" t="n"/>
      <c r="H54" s="315" t="n"/>
      <c r="I54" s="315" t="n"/>
      <c r="J54" s="315" t="n"/>
      <c r="K54" s="261" t="n"/>
      <c r="M54" s="308" t="n"/>
    </row>
    <row r="55" ht="15" customHeight="1" s="74">
      <c r="A55" s="343" t="inlineStr">
        <is>
          <t>Enterprise Value (EV)</t>
        </is>
      </c>
      <c r="B55" s="406">
        <f>IFERROR(B53+B54,"-")</f>
        <v/>
      </c>
      <c r="C55" s="324" t="n"/>
      <c r="D55" s="324" t="n"/>
      <c r="E55" s="324" t="n"/>
      <c r="F55" s="324" t="n"/>
      <c r="G55" s="324" t="n"/>
      <c r="H55" s="272" t="n"/>
      <c r="I55" s="272" t="n"/>
      <c r="J55" s="272" t="n"/>
      <c r="K55" s="261" t="n"/>
      <c r="M55" s="308" t="n"/>
    </row>
    <row r="56" ht="15" customHeight="1" s="74">
      <c r="A56" s="321" t="inlineStr">
        <is>
          <t>(-) Net Debt (latest)</t>
        </is>
      </c>
      <c r="B56" s="407" t="n">
        <v>-54633</v>
      </c>
      <c r="C56" s="326" t="n"/>
      <c r="D56" s="326" t="n"/>
      <c r="E56" s="326" t="n"/>
      <c r="F56" s="326" t="n"/>
      <c r="G56" s="326" t="n"/>
      <c r="H56" s="315" t="n"/>
      <c r="I56" s="315" t="n"/>
      <c r="J56" s="315" t="n"/>
      <c r="K56" s="261" t="n"/>
      <c r="M56" s="308" t="inlineStr">
        <is>
          <t xml:space="preserve">market-researcher | valuation-agent | as-of: </t>
        </is>
      </c>
    </row>
    <row r="57" ht="15" customHeight="1" s="74">
      <c r="A57" s="318" t="inlineStr">
        <is>
          <t>(-) Minority Interest</t>
        </is>
      </c>
      <c r="B57" s="407" t="n">
        <v>0</v>
      </c>
      <c r="C57" s="324" t="n"/>
      <c r="D57" s="324" t="n"/>
      <c r="E57" s="324" t="n"/>
      <c r="F57" s="324" t="n"/>
      <c r="G57" s="324" t="n"/>
      <c r="H57" s="272" t="n"/>
      <c r="I57" s="272" t="n"/>
      <c r="J57" s="272" t="n"/>
      <c r="K57" s="261" t="n"/>
      <c r="M57" s="308" t="inlineStr">
        <is>
          <t xml:space="preserve">market-researcher | valuation-agent | as-of: </t>
        </is>
      </c>
    </row>
    <row r="58" ht="15" customHeight="1" s="74">
      <c r="A58" s="313" t="inlineStr">
        <is>
          <t>(+) Non-operating Assets</t>
        </is>
      </c>
      <c r="B58" s="413" t="n"/>
      <c r="C58" s="326" t="n"/>
      <c r="D58" s="326" t="n"/>
      <c r="E58" s="326" t="n"/>
      <c r="F58" s="326" t="n"/>
      <c r="G58" s="326" t="n"/>
      <c r="H58" s="315" t="n"/>
      <c r="I58" s="315" t="n"/>
      <c r="J58" s="315" t="n"/>
      <c r="K58" s="261" t="n"/>
    </row>
    <row r="59" ht="15" customHeight="1" s="74">
      <c r="A59" s="343" t="inlineStr">
        <is>
          <t>Equity Value</t>
        </is>
      </c>
      <c r="B59" s="406">
        <f>IFERROR(B55-B56-B57+B58,"-")</f>
        <v/>
      </c>
      <c r="C59" s="324" t="n"/>
      <c r="D59" s="324" t="n"/>
      <c r="E59" s="324" t="n"/>
      <c r="F59" s="324" t="n"/>
      <c r="G59" s="324" t="n"/>
      <c r="H59" s="272" t="n"/>
      <c r="I59" s="272" t="n"/>
      <c r="J59" s="272" t="n"/>
      <c r="K59" s="261" t="n"/>
      <c r="M59" s="308" t="n"/>
    </row>
    <row r="60" ht="15" customHeight="1" s="74">
      <c r="A60" s="321" t="inlineStr">
        <is>
          <t>Diluted Shares Outstanding (M)</t>
        </is>
      </c>
      <c r="B60" s="414">
        <f>IFERROR(Market!B11,"-")</f>
        <v/>
      </c>
      <c r="C60" s="326" t="n"/>
      <c r="D60" s="326" t="n"/>
      <c r="E60" s="326" t="n"/>
      <c r="F60" s="326" t="n"/>
      <c r="G60" s="326" t="n"/>
      <c r="H60" s="315" t="n"/>
      <c r="I60" s="315" t="n"/>
      <c r="J60" s="315" t="n"/>
      <c r="K60" s="261" t="n"/>
    </row>
    <row r="61" ht="15" customHeight="1" s="74">
      <c r="A61" s="343" t="inlineStr">
        <is>
          <t>DCF Fair Value / Share</t>
        </is>
      </c>
      <c r="B61" s="415">
        <f>IFERROR(B59/B60,"-")</f>
        <v/>
      </c>
      <c r="C61" s="324" t="n"/>
      <c r="D61" s="324" t="n"/>
      <c r="E61" s="324" t="n"/>
      <c r="F61" s="324" t="n"/>
      <c r="G61" s="324" t="n"/>
      <c r="H61" s="272" t="n"/>
      <c r="I61" s="272" t="n"/>
      <c r="J61" s="272" t="n"/>
      <c r="K61" s="261" t="n"/>
      <c r="M61" s="308" t="n"/>
    </row>
    <row r="62" ht="15" customHeight="1" s="74">
      <c r="A62" s="321" t="inlineStr">
        <is>
          <t>Upside / Downside vs Price</t>
        </is>
      </c>
      <c r="B62" s="409">
        <f>IFERROR(B61/Data!B8-1,"-")</f>
        <v/>
      </c>
      <c r="C62" s="326" t="n"/>
      <c r="D62" s="326" t="n"/>
      <c r="E62" s="326" t="n"/>
      <c r="F62" s="326" t="n"/>
      <c r="G62" s="326" t="n"/>
      <c r="H62" s="315" t="n"/>
      <c r="I62" s="315" t="n"/>
      <c r="J62" s="315" t="n"/>
      <c r="K62" s="261" t="n"/>
      <c r="M62" s="308" t="n"/>
    </row>
    <row r="63">
      <c r="A63" s="2" t="n"/>
      <c r="B63" s="2" t="n"/>
      <c r="C63" s="2" t="n"/>
      <c r="D63" s="2" t="n"/>
      <c r="E63" s="2" t="n"/>
      <c r="F63" s="2" t="n"/>
      <c r="G63" s="2" t="n"/>
      <c r="H63" s="2" t="n"/>
      <c r="I63" s="2" t="n"/>
      <c r="J63" s="2" t="n"/>
    </row>
    <row r="64" ht="19" customHeight="1" s="74">
      <c r="A64" s="226" t="inlineStr">
        <is>
          <t>3a. DCF — BEAR CASE</t>
        </is>
      </c>
    </row>
    <row r="65" ht="15" customHeight="1" s="74">
      <c r="A65" s="45" t="n"/>
      <c r="B65" s="45" t="n"/>
      <c r="C65" s="45" t="n"/>
      <c r="D65" s="45" t="n"/>
      <c r="E65" s="45" t="n"/>
      <c r="F65" s="45" t="n"/>
      <c r="G65" s="45" t="n"/>
      <c r="H65" s="2" t="n"/>
      <c r="I65" s="2" t="n"/>
      <c r="J65" s="2" t="n"/>
    </row>
    <row r="66" ht="15" customHeight="1" s="74">
      <c r="A66" s="337" t="inlineStr">
        <is>
          <t>─ BEAR Assumptions ─</t>
        </is>
      </c>
      <c r="B66" s="326" t="n"/>
      <c r="C66" s="326" t="n"/>
      <c r="D66" s="326" t="n"/>
      <c r="E66" s="326" t="n"/>
      <c r="F66" s="326" t="n"/>
      <c r="G66" s="326" t="n"/>
      <c r="H66" s="315" t="n"/>
      <c r="I66" s="315" t="n"/>
      <c r="J66" s="315" t="n"/>
      <c r="K66" s="261" t="n"/>
    </row>
    <row r="67" ht="15" customHeight="1" s="74">
      <c r="A67" s="313" t="inlineStr">
        <is>
          <t>Revenue Growth Rate</t>
        </is>
      </c>
      <c r="B67" s="398">
        <f>IFERROR(B20-0.02,"-")</f>
        <v/>
      </c>
      <c r="C67" s="402">
        <f>IFERROR(C20-0.02,"-")</f>
        <v/>
      </c>
      <c r="D67" s="402">
        <f>IFERROR(D20-0.02,"-")</f>
        <v/>
      </c>
      <c r="E67" s="402">
        <f>IFERROR(E20-0.02,"-")</f>
        <v/>
      </c>
      <c r="F67" s="402">
        <f>IFERROR(F20-0.02,"-")</f>
        <v/>
      </c>
      <c r="G67" s="324" t="n"/>
      <c r="H67" s="272" t="n"/>
      <c r="I67" s="272" t="n"/>
      <c r="J67" s="272" t="n"/>
      <c r="K67" s="261" t="n"/>
    </row>
    <row r="68" ht="15" customHeight="1" s="74">
      <c r="A68" s="313" t="inlineStr">
        <is>
          <t>EBITDA Margin</t>
        </is>
      </c>
      <c r="B68" s="398">
        <f>IFERROR(B21-0.01,"-")</f>
        <v/>
      </c>
      <c r="C68" s="401">
        <f>IFERROR(C21-0.01,"-")</f>
        <v/>
      </c>
      <c r="D68" s="401">
        <f>IFERROR(D21-0.01,"-")</f>
        <v/>
      </c>
      <c r="E68" s="401">
        <f>IFERROR(E21-0.01,"-")</f>
        <v/>
      </c>
      <c r="F68" s="401">
        <f>IFERROR(F21-0.01,"-")</f>
        <v/>
      </c>
      <c r="G68" s="326" t="n"/>
      <c r="H68" s="315" t="n"/>
      <c r="I68" s="315" t="n"/>
      <c r="J68" s="315" t="n"/>
      <c r="K68" s="261" t="n"/>
    </row>
    <row r="69" ht="15" customHeight="1" s="74">
      <c r="A69" s="313" t="inlineStr">
        <is>
          <t>D&amp;A / Revenue</t>
        </is>
      </c>
      <c r="B69" s="398" t="n"/>
      <c r="C69" s="402" t="n"/>
      <c r="D69" s="402" t="n"/>
      <c r="E69" s="402" t="n"/>
      <c r="F69" s="402" t="n"/>
      <c r="G69" s="324" t="n"/>
      <c r="H69" s="272" t="n"/>
      <c r="I69" s="272" t="n"/>
      <c r="J69" s="272" t="n"/>
      <c r="K69" s="261" t="n"/>
    </row>
    <row r="70" ht="15" customHeight="1" s="74">
      <c r="A70" s="313" t="inlineStr">
        <is>
          <t>CapEx / Revenue</t>
        </is>
      </c>
      <c r="B70" s="398" t="n"/>
      <c r="C70" s="401" t="n"/>
      <c r="D70" s="401" t="n"/>
      <c r="E70" s="401" t="n"/>
      <c r="F70" s="401" t="n"/>
      <c r="G70" s="326" t="n"/>
      <c r="H70" s="315" t="n"/>
      <c r="I70" s="315" t="n"/>
      <c r="J70" s="315" t="n"/>
      <c r="K70" s="261" t="n"/>
    </row>
    <row r="71" ht="15" customHeight="1" s="74">
      <c r="A71" s="313" t="inlineStr">
        <is>
          <t>Change in NWC / Revenue</t>
        </is>
      </c>
      <c r="B71" s="398" t="n"/>
      <c r="C71" s="402" t="n"/>
      <c r="D71" s="402" t="n"/>
      <c r="E71" s="402" t="n"/>
      <c r="F71" s="402" t="n"/>
      <c r="G71" s="324" t="n"/>
      <c r="H71" s="272" t="n"/>
      <c r="I71" s="272" t="n"/>
      <c r="J71" s="272" t="n"/>
      <c r="K71" s="261" t="n"/>
    </row>
    <row r="72" ht="15" customHeight="1" s="74">
      <c r="A72" s="313" t="inlineStr">
        <is>
          <t>Effective Tax Rate</t>
        </is>
      </c>
      <c r="B72" s="398" t="n"/>
      <c r="C72" s="401" t="n"/>
      <c r="D72" s="401" t="n"/>
      <c r="E72" s="401" t="n"/>
      <c r="F72" s="401" t="n"/>
      <c r="G72" s="326" t="n"/>
      <c r="H72" s="315" t="n"/>
      <c r="I72" s="315" t="n"/>
      <c r="J72" s="315" t="n"/>
      <c r="K72" s="261" t="n"/>
    </row>
    <row r="73" ht="15" customHeight="1" s="74">
      <c r="A73" s="313" t="inlineStr">
        <is>
          <t>Terminal Growth Rate</t>
        </is>
      </c>
      <c r="B73" s="398">
        <f>IFERROR(B26-0.005,"-")</f>
        <v/>
      </c>
      <c r="C73" s="402" t="n"/>
      <c r="D73" s="402" t="n"/>
      <c r="E73" s="402" t="n"/>
      <c r="F73" s="402" t="n"/>
      <c r="G73" s="402" t="n"/>
      <c r="H73" s="272" t="n"/>
      <c r="I73" s="272" t="n"/>
      <c r="J73" s="272" t="n"/>
      <c r="K73" s="261" t="n"/>
    </row>
    <row r="74" ht="15" customHeight="1" s="74">
      <c r="A74" s="313" t="inlineStr">
        <is>
          <t>Exit EV/EBITDA Multiple</t>
        </is>
      </c>
      <c r="B74" s="403" t="n"/>
      <c r="C74" s="416" t="n"/>
      <c r="D74" s="416" t="n"/>
      <c r="E74" s="416" t="n"/>
      <c r="F74" s="416" t="n"/>
      <c r="G74" s="416" t="n"/>
      <c r="H74" s="315" t="n"/>
      <c r="I74" s="315" t="n"/>
      <c r="J74" s="315" t="n"/>
      <c r="K74" s="261" t="n"/>
    </row>
    <row r="75">
      <c r="A75" s="2" t="n"/>
      <c r="B75" s="408" t="n"/>
      <c r="C75" s="2" t="n"/>
      <c r="D75" s="2" t="n"/>
      <c r="E75" s="2" t="n"/>
      <c r="F75" s="2" t="n"/>
      <c r="G75" s="2" t="n"/>
      <c r="H75" s="2" t="n"/>
      <c r="I75" s="2" t="n"/>
      <c r="J75" s="2" t="n"/>
    </row>
    <row r="76" ht="15" customHeight="1" s="74">
      <c r="A76" s="337" t="inlineStr">
        <is>
          <t>─ BEAR Projected UFCF ─</t>
        </is>
      </c>
      <c r="B76" s="405" t="n"/>
      <c r="C76" s="326" t="n"/>
      <c r="D76" s="326" t="n"/>
      <c r="E76" s="326" t="n"/>
      <c r="F76" s="326" t="n"/>
      <c r="G76" s="326" t="n"/>
      <c r="H76" s="315" t="n"/>
      <c r="I76" s="315" t="n"/>
      <c r="J76" s="315" t="n"/>
      <c r="K76" s="261" t="n"/>
    </row>
    <row r="77" ht="15" customHeight="1" s="74">
      <c r="A77" s="318" t="inlineStr">
        <is>
          <t>Projected Revenue</t>
        </is>
      </c>
      <c r="B77" s="407">
        <f>IFERROR(B30*(1+B67),"-")</f>
        <v/>
      </c>
      <c r="C77" s="334">
        <f>IFERROR(B77*(1+C67),"-")</f>
        <v/>
      </c>
      <c r="D77" s="334">
        <f>IFERROR(C77*(1+D67),"-")</f>
        <v/>
      </c>
      <c r="E77" s="334">
        <f>IFERROR(D77*(1+E67),"-")</f>
        <v/>
      </c>
      <c r="F77" s="334">
        <f>IFERROR(E77*(1+F67),"-")</f>
        <v/>
      </c>
      <c r="G77" s="324" t="n"/>
      <c r="H77" s="272" t="n"/>
      <c r="I77" s="272" t="n"/>
      <c r="J77" s="272" t="n"/>
      <c r="K77" s="261" t="n"/>
    </row>
    <row r="78" ht="15" customHeight="1" s="74">
      <c r="A78" s="321" t="inlineStr">
        <is>
          <t>Projected EBITDA</t>
        </is>
      </c>
      <c r="B78" s="407">
        <f>IFERROR(B77*B68,"-")</f>
        <v/>
      </c>
      <c r="C78" s="335">
        <f>IFERROR(C77*C68,"-")</f>
        <v/>
      </c>
      <c r="D78" s="335">
        <f>IFERROR(D77*D68,"-")</f>
        <v/>
      </c>
      <c r="E78" s="335">
        <f>IFERROR(E77*E68,"-")</f>
        <v/>
      </c>
      <c r="F78" s="335">
        <f>IFERROR(F77*F68,"-")</f>
        <v/>
      </c>
      <c r="G78" s="326" t="n"/>
      <c r="H78" s="315" t="n"/>
      <c r="I78" s="315" t="n"/>
      <c r="J78" s="315" t="n"/>
      <c r="K78" s="261" t="n"/>
    </row>
    <row r="79" ht="15" customHeight="1" s="74">
      <c r="A79" s="318" t="inlineStr">
        <is>
          <t>Projected EBIT</t>
        </is>
      </c>
      <c r="B79" s="407">
        <f>IFERROR(B78-B77*B22,"-")</f>
        <v/>
      </c>
      <c r="C79" s="334">
        <f>IFERROR(C78-C77*C22,"-")</f>
        <v/>
      </c>
      <c r="D79" s="334">
        <f>IFERROR(D78-D77*D22,"-")</f>
        <v/>
      </c>
      <c r="E79" s="334">
        <f>IFERROR(E78-E77*E22,"-")</f>
        <v/>
      </c>
      <c r="F79" s="334">
        <f>IFERROR(F78-F77*F22,"-")</f>
        <v/>
      </c>
      <c r="G79" s="324" t="n"/>
      <c r="H79" s="272" t="n"/>
      <c r="I79" s="272" t="n"/>
      <c r="J79" s="272" t="n"/>
      <c r="K79" s="261" t="n"/>
    </row>
    <row r="80" ht="15" customHeight="1" s="74">
      <c r="A80" s="331" t="inlineStr">
        <is>
          <t>UFCF</t>
        </is>
      </c>
      <c r="B80" s="406">
        <f>IFERROR(B79*(1-B25)+B77*B22-B77*B23-(B77-B30)*B24,"-")</f>
        <v/>
      </c>
      <c r="C80" s="336">
        <f>IFERROR(C79*(1-C25)+C77*C22-C77*C23-(C77-B77)*C24,"-")</f>
        <v/>
      </c>
      <c r="D80" s="336">
        <f>IFERROR(D79*(1-D25)+D77*D22-D77*D23-(D77-C77)*D24,"-")</f>
        <v/>
      </c>
      <c r="E80" s="336">
        <f>IFERROR(E79*(1-E25)+E77*E22-E77*E23-(E77-D77)*E24,"-")</f>
        <v/>
      </c>
      <c r="F80" s="336">
        <f>IFERROR(F79*(1-F25)+F77*F22-F77*F23-(F77-E77)*F24,"-")</f>
        <v/>
      </c>
      <c r="G80" s="326" t="n"/>
      <c r="H80" s="315" t="n"/>
      <c r="I80" s="315" t="n"/>
      <c r="J80" s="315" t="n"/>
      <c r="K80" s="261" t="n"/>
    </row>
    <row r="81">
      <c r="A81" s="2" t="n"/>
      <c r="B81" s="408" t="n"/>
      <c r="C81" s="2" t="n"/>
      <c r="D81" s="2" t="n"/>
      <c r="E81" s="2" t="n"/>
      <c r="F81" s="2" t="n"/>
      <c r="G81" s="2" t="n"/>
      <c r="H81" s="2" t="n"/>
      <c r="I81" s="2" t="n"/>
      <c r="J81" s="2" t="n"/>
    </row>
    <row r="82" ht="15" customHeight="1" s="74">
      <c r="A82" s="321" t="inlineStr">
        <is>
          <t>TV (Perpetuity Growth)</t>
        </is>
      </c>
      <c r="B82" s="407">
        <f>IFERROR(F80*(1+$B$73)/($B$15-$B$73),"-")</f>
        <v/>
      </c>
      <c r="C82" s="326" t="n"/>
      <c r="D82" s="326" t="n"/>
      <c r="E82" s="326" t="n"/>
      <c r="F82" s="326" t="n"/>
      <c r="G82" s="326" t="n"/>
      <c r="H82" s="315" t="n"/>
      <c r="I82" s="315" t="n"/>
      <c r="J82" s="315" t="n"/>
      <c r="K82" s="261" t="n"/>
    </row>
    <row r="83" ht="15" customHeight="1" s="74">
      <c r="A83" s="318" t="inlineStr">
        <is>
          <t>TV (Exit Multiple)</t>
        </is>
      </c>
      <c r="B83" s="407">
        <f>IFERROR(F78*$B$27,"-")</f>
        <v/>
      </c>
      <c r="C83" s="324" t="n"/>
      <c r="D83" s="324" t="n"/>
      <c r="E83" s="324" t="n"/>
      <c r="F83" s="324" t="n"/>
      <c r="G83" s="324" t="n"/>
      <c r="H83" s="272" t="n"/>
      <c r="I83" s="272" t="n"/>
      <c r="J83" s="272" t="n"/>
      <c r="K83" s="261" t="n"/>
    </row>
    <row r="84" ht="15" customHeight="1" s="74">
      <c r="A84" s="321" t="inlineStr">
        <is>
          <t>Selected TV (avg)</t>
        </is>
      </c>
      <c r="B84" s="407">
        <f>IFERROR(B83,"-")</f>
        <v/>
      </c>
      <c r="C84" s="326" t="n"/>
      <c r="D84" s="326" t="n"/>
      <c r="E84" s="326" t="n"/>
      <c r="F84" s="326" t="n"/>
      <c r="G84" s="326" t="n"/>
      <c r="H84" s="315" t="n"/>
      <c r="I84" s="315" t="n"/>
      <c r="J84" s="315" t="n"/>
      <c r="K84" s="261" t="n"/>
    </row>
    <row r="85" ht="15" customHeight="1" s="74">
      <c r="A85" s="318" t="inlineStr">
        <is>
          <t>PV of UFCFs</t>
        </is>
      </c>
      <c r="B85" s="407">
        <f>IFERROR(B80*B51+C80*C51+D80*D51+E80*E51+F80*F51,"-")</f>
        <v/>
      </c>
      <c r="C85" s="324" t="n"/>
      <c r="D85" s="324" t="n"/>
      <c r="E85" s="324" t="n"/>
      <c r="F85" s="324" t="n"/>
      <c r="G85" s="324" t="n"/>
      <c r="H85" s="272" t="n"/>
      <c r="I85" s="272" t="n"/>
      <c r="J85" s="272" t="n"/>
      <c r="K85" s="261" t="n"/>
    </row>
    <row r="86" ht="15" customHeight="1" s="74">
      <c r="A86" s="321" t="inlineStr">
        <is>
          <t>PV of Terminal Value</t>
        </is>
      </c>
      <c r="B86" s="407">
        <f>IFERROR(B84*F51,"-")</f>
        <v/>
      </c>
      <c r="C86" s="326" t="n"/>
      <c r="D86" s="326" t="n"/>
      <c r="E86" s="326" t="n"/>
      <c r="F86" s="326" t="n"/>
      <c r="G86" s="326" t="n"/>
      <c r="H86" s="315" t="n"/>
      <c r="I86" s="315" t="n"/>
      <c r="J86" s="315" t="n"/>
      <c r="K86" s="261" t="n"/>
    </row>
    <row r="87" ht="15" customHeight="1" s="74">
      <c r="A87" s="318" t="inlineStr">
        <is>
          <t>Enterprise Value</t>
        </is>
      </c>
      <c r="B87" s="407">
        <f>IFERROR(B85+B86,"-")</f>
        <v/>
      </c>
      <c r="C87" s="324" t="n"/>
      <c r="D87" s="324" t="n"/>
      <c r="E87" s="324" t="n"/>
      <c r="F87" s="324" t="n"/>
      <c r="G87" s="324" t="n"/>
      <c r="H87" s="272" t="n"/>
      <c r="I87" s="272" t="n"/>
      <c r="J87" s="272" t="n"/>
      <c r="K87" s="261" t="n"/>
    </row>
    <row r="88" ht="15" customHeight="1" s="74">
      <c r="A88" s="331" t="inlineStr">
        <is>
          <t>BEAR DCF Fair Value / Share</t>
        </is>
      </c>
      <c r="B88" s="415">
        <f>IFERROR((B87-B56-B57+B58)/B60,"-")</f>
        <v/>
      </c>
      <c r="C88" s="326" t="n"/>
      <c r="D88" s="326" t="n"/>
      <c r="E88" s="326" t="n"/>
      <c r="F88" s="326" t="n"/>
      <c r="G88" s="326" t="n"/>
      <c r="H88" s="315" t="n"/>
      <c r="I88" s="315" t="n"/>
      <c r="J88" s="315" t="n"/>
      <c r="K88" s="261" t="n"/>
      <c r="M88" s="308" t="n"/>
    </row>
    <row r="89">
      <c r="A89" s="2" t="n"/>
      <c r="B89" s="408" t="n"/>
      <c r="C89" s="2" t="n"/>
      <c r="D89" s="2" t="n"/>
      <c r="E89" s="2" t="n"/>
      <c r="F89" s="2" t="n"/>
      <c r="G89" s="2" t="n"/>
      <c r="H89" s="2" t="n"/>
      <c r="I89" s="2" t="n"/>
      <c r="J89" s="2" t="n"/>
    </row>
    <row r="90" ht="19" customHeight="1" s="74">
      <c r="A90" s="226" t="inlineStr">
        <is>
          <t>3b. DCF — BULL CASE</t>
        </is>
      </c>
    </row>
    <row r="91" ht="15" customHeight="1" s="74">
      <c r="A91" s="45" t="n"/>
      <c r="B91" s="417" t="n"/>
      <c r="C91" s="45" t="n"/>
      <c r="D91" s="45" t="n"/>
      <c r="E91" s="45" t="n"/>
      <c r="F91" s="45" t="n"/>
      <c r="G91" s="45" t="n"/>
      <c r="H91" s="2" t="n"/>
      <c r="I91" s="2" t="n"/>
      <c r="J91" s="2" t="n"/>
    </row>
    <row r="92" ht="15" customHeight="1" s="74">
      <c r="A92" s="337" t="inlineStr">
        <is>
          <t>─ BULL Assumptions ─</t>
        </is>
      </c>
      <c r="B92" s="405" t="n"/>
      <c r="C92" s="326" t="n"/>
      <c r="D92" s="326" t="n"/>
      <c r="E92" s="326" t="n"/>
      <c r="F92" s="326" t="n"/>
      <c r="G92" s="326" t="n"/>
      <c r="H92" s="315" t="n"/>
      <c r="I92" s="315" t="n"/>
      <c r="J92" s="315" t="n"/>
      <c r="K92" s="261" t="n"/>
    </row>
    <row r="93" ht="15" customHeight="1" s="74">
      <c r="A93" s="313" t="inlineStr">
        <is>
          <t>Revenue Growth Rate</t>
        </is>
      </c>
      <c r="B93" s="398">
        <f>IFERROR(B20+0.02,"-")</f>
        <v/>
      </c>
      <c r="C93" s="402">
        <f>IFERROR(C20+0.02,"-")</f>
        <v/>
      </c>
      <c r="D93" s="402">
        <f>IFERROR(D20+0.02,"-")</f>
        <v/>
      </c>
      <c r="E93" s="402">
        <f>IFERROR(E20+0.02,"-")</f>
        <v/>
      </c>
      <c r="F93" s="402">
        <f>IFERROR(F20+0.02,"-")</f>
        <v/>
      </c>
      <c r="G93" s="324" t="n"/>
      <c r="H93" s="272" t="n"/>
      <c r="I93" s="272" t="n"/>
      <c r="J93" s="272" t="n"/>
      <c r="K93" s="261" t="n"/>
    </row>
    <row r="94" ht="15" customHeight="1" s="74">
      <c r="A94" s="313" t="inlineStr">
        <is>
          <t>EBITDA Margin</t>
        </is>
      </c>
      <c r="B94" s="398">
        <f>IFERROR(B21+0.01,"-")</f>
        <v/>
      </c>
      <c r="C94" s="401">
        <f>IFERROR(C21+0.01,"-")</f>
        <v/>
      </c>
      <c r="D94" s="401">
        <f>IFERROR(D21+0.01,"-")</f>
        <v/>
      </c>
      <c r="E94" s="401">
        <f>IFERROR(E21+0.01,"-")</f>
        <v/>
      </c>
      <c r="F94" s="401">
        <f>IFERROR(F21+0.01,"-")</f>
        <v/>
      </c>
      <c r="G94" s="326" t="n"/>
      <c r="H94" s="315" t="n"/>
      <c r="I94" s="315" t="n"/>
      <c r="J94" s="315" t="n"/>
      <c r="K94" s="261" t="n"/>
    </row>
    <row r="95" ht="15" customHeight="1" s="74">
      <c r="A95" s="313" t="inlineStr">
        <is>
          <t>D&amp;A / Revenue</t>
        </is>
      </c>
      <c r="B95" s="398" t="n"/>
      <c r="C95" s="402" t="n"/>
      <c r="D95" s="402" t="n"/>
      <c r="E95" s="402" t="n"/>
      <c r="F95" s="402" t="n"/>
      <c r="G95" s="324" t="n"/>
      <c r="H95" s="272" t="n"/>
      <c r="I95" s="272" t="n"/>
      <c r="J95" s="272" t="n"/>
      <c r="K95" s="261" t="n"/>
    </row>
    <row r="96" ht="15" customHeight="1" s="74">
      <c r="A96" s="313" t="inlineStr">
        <is>
          <t>CapEx / Revenue</t>
        </is>
      </c>
      <c r="B96" s="398" t="n"/>
      <c r="C96" s="401" t="n"/>
      <c r="D96" s="401" t="n"/>
      <c r="E96" s="401" t="n"/>
      <c r="F96" s="401" t="n"/>
      <c r="G96" s="326" t="n"/>
      <c r="H96" s="315" t="n"/>
      <c r="I96" s="315" t="n"/>
      <c r="J96" s="315" t="n"/>
      <c r="K96" s="261" t="n"/>
    </row>
    <row r="97" ht="15" customHeight="1" s="74">
      <c r="A97" s="313" t="inlineStr">
        <is>
          <t>Change in NWC / Revenue</t>
        </is>
      </c>
      <c r="B97" s="398" t="n"/>
      <c r="C97" s="402" t="n"/>
      <c r="D97" s="402" t="n"/>
      <c r="E97" s="402" t="n"/>
      <c r="F97" s="402" t="n"/>
      <c r="G97" s="324" t="n"/>
      <c r="H97" s="272" t="n"/>
      <c r="I97" s="272" t="n"/>
      <c r="J97" s="272" t="n"/>
      <c r="K97" s="261" t="n"/>
    </row>
    <row r="98" ht="15" customHeight="1" s="74">
      <c r="A98" s="313" t="inlineStr">
        <is>
          <t>Effective Tax Rate</t>
        </is>
      </c>
      <c r="B98" s="398" t="n"/>
      <c r="C98" s="401" t="n"/>
      <c r="D98" s="401" t="n"/>
      <c r="E98" s="401" t="n"/>
      <c r="F98" s="401" t="n"/>
      <c r="G98" s="326" t="n"/>
      <c r="H98" s="315" t="n"/>
      <c r="I98" s="315" t="n"/>
      <c r="J98" s="315" t="n"/>
      <c r="K98" s="261" t="n"/>
    </row>
    <row r="99" ht="15" customHeight="1" s="74">
      <c r="A99" s="313" t="inlineStr">
        <is>
          <t>Terminal Growth Rate</t>
        </is>
      </c>
      <c r="B99" s="398">
        <f>IFERROR(B26+0.005,"-")</f>
        <v/>
      </c>
      <c r="C99" s="402" t="n"/>
      <c r="D99" s="402" t="n"/>
      <c r="E99" s="402" t="n"/>
      <c r="F99" s="402" t="n"/>
      <c r="G99" s="402" t="n"/>
      <c r="H99" s="272" t="n"/>
      <c r="I99" s="272" t="n"/>
      <c r="J99" s="272" t="n"/>
      <c r="K99" s="261" t="n"/>
    </row>
    <row r="100" ht="15" customHeight="1" s="74">
      <c r="A100" s="313" t="inlineStr">
        <is>
          <t>Exit EV/EBITDA Multiple</t>
        </is>
      </c>
      <c r="B100" s="403" t="n"/>
      <c r="C100" s="416" t="n"/>
      <c r="D100" s="416" t="n"/>
      <c r="E100" s="416" t="n"/>
      <c r="F100" s="416" t="n"/>
      <c r="G100" s="416" t="n"/>
      <c r="H100" s="315" t="n"/>
      <c r="I100" s="315" t="n"/>
      <c r="J100" s="315" t="n"/>
      <c r="K100" s="261" t="n"/>
    </row>
    <row r="101">
      <c r="A101" s="2" t="n"/>
      <c r="B101" s="408" t="n"/>
      <c r="C101" s="2" t="n"/>
      <c r="D101" s="2" t="n"/>
      <c r="E101" s="2" t="n"/>
      <c r="F101" s="2" t="n"/>
      <c r="G101" s="2" t="n"/>
      <c r="H101" s="2" t="n"/>
      <c r="I101" s="2" t="n"/>
      <c r="J101" s="2" t="n"/>
    </row>
    <row r="102" ht="15" customHeight="1" s="74">
      <c r="A102" s="337" t="inlineStr">
        <is>
          <t>─ BULL Projected UFCF ─</t>
        </is>
      </c>
      <c r="B102" s="405" t="n"/>
      <c r="C102" s="326" t="n"/>
      <c r="D102" s="326" t="n"/>
      <c r="E102" s="326" t="n"/>
      <c r="F102" s="326" t="n"/>
      <c r="G102" s="326" t="n"/>
      <c r="H102" s="315" t="n"/>
      <c r="I102" s="315" t="n"/>
      <c r="J102" s="315" t="n"/>
      <c r="K102" s="261" t="n"/>
    </row>
    <row r="103" ht="15" customHeight="1" s="74">
      <c r="A103" s="318" t="inlineStr">
        <is>
          <t>Projected Revenue</t>
        </is>
      </c>
      <c r="B103" s="407">
        <f>IFERROR(B30*(1+B93),"-")</f>
        <v/>
      </c>
      <c r="C103" s="334">
        <f>IFERROR(B103*(1+C93),"-")</f>
        <v/>
      </c>
      <c r="D103" s="334">
        <f>IFERROR(C103*(1+D93),"-")</f>
        <v/>
      </c>
      <c r="E103" s="334">
        <f>IFERROR(D103*(1+E93),"-")</f>
        <v/>
      </c>
      <c r="F103" s="334">
        <f>IFERROR(E103*(1+F93),"-")</f>
        <v/>
      </c>
      <c r="G103" s="324" t="n"/>
      <c r="H103" s="272" t="n"/>
      <c r="I103" s="272" t="n"/>
      <c r="J103" s="272" t="n"/>
      <c r="K103" s="261" t="n"/>
    </row>
    <row r="104" ht="15" customHeight="1" s="74">
      <c r="A104" s="321" t="inlineStr">
        <is>
          <t>Projected EBITDA</t>
        </is>
      </c>
      <c r="B104" s="407">
        <f>IFERROR(B103*B94,"-")</f>
        <v/>
      </c>
      <c r="C104" s="335">
        <f>IFERROR(C103*C94,"-")</f>
        <v/>
      </c>
      <c r="D104" s="335">
        <f>IFERROR(D103*D94,"-")</f>
        <v/>
      </c>
      <c r="E104" s="335">
        <f>IFERROR(E103*E94,"-")</f>
        <v/>
      </c>
      <c r="F104" s="335">
        <f>IFERROR(F103*F94,"-")</f>
        <v/>
      </c>
      <c r="G104" s="326" t="n"/>
      <c r="H104" s="315" t="n"/>
      <c r="I104" s="315" t="n"/>
      <c r="J104" s="315" t="n"/>
      <c r="K104" s="261" t="n"/>
    </row>
    <row r="105" ht="15" customHeight="1" s="74">
      <c r="A105" s="318" t="inlineStr">
        <is>
          <t>Projected EBIT</t>
        </is>
      </c>
      <c r="B105" s="407">
        <f>IFERROR(B104-B103*B22,"-")</f>
        <v/>
      </c>
      <c r="C105" s="334">
        <f>IFERROR(C104-C103*C22,"-")</f>
        <v/>
      </c>
      <c r="D105" s="334">
        <f>IFERROR(D104-D103*D22,"-")</f>
        <v/>
      </c>
      <c r="E105" s="334">
        <f>IFERROR(E104-E103*E22,"-")</f>
        <v/>
      </c>
      <c r="F105" s="334">
        <f>IFERROR(F104-F103*F22,"-")</f>
        <v/>
      </c>
      <c r="G105" s="324" t="n"/>
      <c r="H105" s="272" t="n"/>
      <c r="I105" s="272" t="n"/>
      <c r="J105" s="272" t="n"/>
      <c r="K105" s="261" t="n"/>
    </row>
    <row r="106" ht="15" customHeight="1" s="74">
      <c r="A106" s="331" t="inlineStr">
        <is>
          <t>UFCF</t>
        </is>
      </c>
      <c r="B106" s="406">
        <f>IFERROR(B105*(1-B25)+B103*B22-B103*B23-(B103-B30)*B24,"-")</f>
        <v/>
      </c>
      <c r="C106" s="336">
        <f>IFERROR(C105*(1-C25)+C103*C22-C103*C23-(C103-B103)*C24,"-")</f>
        <v/>
      </c>
      <c r="D106" s="336">
        <f>IFERROR(D105*(1-D25)+D103*D22-D103*D23-(D103-C103)*D24,"-")</f>
        <v/>
      </c>
      <c r="E106" s="336">
        <f>IFERROR(E105*(1-E25)+E103*E22-E103*E23-(E103-D103)*E24,"-")</f>
        <v/>
      </c>
      <c r="F106" s="336">
        <f>IFERROR(F105*(1-F25)+F103*F22-F103*F23-(F103-E103)*F24,"-")</f>
        <v/>
      </c>
      <c r="G106" s="326" t="n"/>
      <c r="H106" s="315" t="n"/>
      <c r="I106" s="315" t="n"/>
      <c r="J106" s="315" t="n"/>
      <c r="K106" s="261" t="n"/>
    </row>
    <row r="107">
      <c r="A107" s="2" t="n"/>
      <c r="B107" s="408" t="n"/>
      <c r="C107" s="2" t="n"/>
      <c r="D107" s="2" t="n"/>
      <c r="E107" s="2" t="n"/>
      <c r="F107" s="2" t="n"/>
      <c r="G107" s="2" t="n"/>
      <c r="H107" s="2" t="n"/>
      <c r="I107" s="2" t="n"/>
      <c r="J107" s="2" t="n"/>
    </row>
    <row r="108" ht="15" customHeight="1" s="74">
      <c r="A108" s="321" t="inlineStr">
        <is>
          <t>TV (Perpetuity Growth)</t>
        </is>
      </c>
      <c r="B108" s="407">
        <f>IFERROR(F106*(1+$B$99)/($B$15-$B$99),"-")</f>
        <v/>
      </c>
      <c r="C108" s="326" t="n"/>
      <c r="D108" s="326" t="n"/>
      <c r="E108" s="326" t="n"/>
      <c r="F108" s="326" t="n"/>
      <c r="G108" s="326" t="n"/>
      <c r="H108" s="315" t="n"/>
      <c r="I108" s="315" t="n"/>
      <c r="J108" s="315" t="n"/>
      <c r="K108" s="261" t="n"/>
    </row>
    <row r="109" ht="15" customHeight="1" s="74">
      <c r="A109" s="318" t="inlineStr">
        <is>
          <t>TV (Exit Multiple)</t>
        </is>
      </c>
      <c r="B109" s="407">
        <f>IFERROR(F104*$B$27,"-")</f>
        <v/>
      </c>
      <c r="C109" s="324" t="n"/>
      <c r="D109" s="324" t="n"/>
      <c r="E109" s="324" t="n"/>
      <c r="F109" s="324" t="n"/>
      <c r="G109" s="324" t="n"/>
      <c r="H109" s="272" t="n"/>
      <c r="I109" s="272" t="n"/>
      <c r="J109" s="272" t="n"/>
      <c r="K109" s="261" t="n"/>
    </row>
    <row r="110" ht="15" customHeight="1" s="74">
      <c r="A110" s="321" t="inlineStr">
        <is>
          <t>Selected TV (avg)</t>
        </is>
      </c>
      <c r="B110" s="407">
        <f>IFERROR(B109,"-")</f>
        <v/>
      </c>
      <c r="C110" s="326" t="n"/>
      <c r="D110" s="326" t="n"/>
      <c r="E110" s="326" t="n"/>
      <c r="F110" s="326" t="n"/>
      <c r="G110" s="326" t="n"/>
      <c r="H110" s="315" t="n"/>
      <c r="I110" s="315" t="n"/>
      <c r="J110" s="315" t="n"/>
      <c r="K110" s="261" t="n"/>
    </row>
    <row r="111" ht="15" customHeight="1" s="74">
      <c r="A111" s="318" t="inlineStr">
        <is>
          <t>PV of UFCFs</t>
        </is>
      </c>
      <c r="B111" s="407">
        <f>IFERROR(B106*B51+C106*C51+D106*D51+E106*E51+F106*F51,"-")</f>
        <v/>
      </c>
      <c r="C111" s="324" t="n"/>
      <c r="D111" s="324" t="n"/>
      <c r="E111" s="324" t="n"/>
      <c r="F111" s="324" t="n"/>
      <c r="G111" s="324" t="n"/>
      <c r="H111" s="272" t="n"/>
      <c r="I111" s="272" t="n"/>
      <c r="J111" s="272" t="n"/>
      <c r="K111" s="261" t="n"/>
    </row>
    <row r="112" ht="15" customHeight="1" s="74">
      <c r="A112" s="321" t="inlineStr">
        <is>
          <t>PV of Terminal Value</t>
        </is>
      </c>
      <c r="B112" s="407">
        <f>IFERROR(B110*F51,"-")</f>
        <v/>
      </c>
      <c r="C112" s="326" t="n"/>
      <c r="D112" s="326" t="n"/>
      <c r="E112" s="326" t="n"/>
      <c r="F112" s="326" t="n"/>
      <c r="G112" s="326" t="n"/>
      <c r="H112" s="315" t="n"/>
      <c r="I112" s="315" t="n"/>
      <c r="J112" s="315" t="n"/>
      <c r="K112" s="261" t="n"/>
    </row>
    <row r="113" ht="15" customHeight="1" s="74">
      <c r="A113" s="318" t="inlineStr">
        <is>
          <t>Enterprise Value</t>
        </is>
      </c>
      <c r="B113" s="407">
        <f>IFERROR(B111+B112,"-")</f>
        <v/>
      </c>
      <c r="C113" s="324" t="n"/>
      <c r="D113" s="324" t="n"/>
      <c r="E113" s="324" t="n"/>
      <c r="F113" s="324" t="n"/>
      <c r="G113" s="324" t="n"/>
      <c r="H113" s="272" t="n"/>
      <c r="I113" s="272" t="n"/>
      <c r="J113" s="272" t="n"/>
      <c r="K113" s="261" t="n"/>
    </row>
    <row r="114" ht="15" customHeight="1" s="74">
      <c r="A114" s="331" t="inlineStr">
        <is>
          <t>BULL DCF Fair Value / Share</t>
        </is>
      </c>
      <c r="B114" s="415">
        <f>IFERROR((B113-B56-B57+B58)/B60,"-")</f>
        <v/>
      </c>
      <c r="C114" s="326" t="n"/>
      <c r="D114" s="326" t="n"/>
      <c r="E114" s="326" t="n"/>
      <c r="F114" s="326" t="n"/>
      <c r="G114" s="326" t="n"/>
      <c r="H114" s="315" t="n"/>
      <c r="I114" s="315" t="n"/>
      <c r="J114" s="315" t="n"/>
      <c r="K114" s="261" t="n"/>
      <c r="M114" s="308" t="n"/>
    </row>
    <row r="115">
      <c r="A115" s="2" t="n"/>
      <c r="B115" s="408" t="n"/>
      <c r="C115" s="2" t="n"/>
      <c r="D115" s="2" t="n"/>
      <c r="E115" s="2" t="n"/>
      <c r="F115" s="2" t="n"/>
      <c r="G115" s="2" t="n"/>
      <c r="H115" s="2" t="n"/>
      <c r="I115" s="2" t="n"/>
      <c r="J115" s="2" t="n"/>
    </row>
    <row r="116" ht="19" customHeight="1" s="74">
      <c r="A116" s="226" t="inlineStr">
        <is>
          <t>4. MULTIPLES-BASED VALUATION</t>
        </is>
      </c>
    </row>
    <row r="117" ht="21.75" customHeight="1" s="74">
      <c r="A117" s="322" t="inlineStr">
        <is>
          <t>Method</t>
        </is>
      </c>
      <c r="B117" s="418" t="n"/>
      <c r="C117" s="322" t="n"/>
      <c r="D117" s="322" t="n"/>
      <c r="E117" s="322" t="n"/>
      <c r="F117" s="272" t="n"/>
      <c r="G117" s="272" t="n"/>
      <c r="H117" s="272" t="n"/>
      <c r="I117" s="272" t="n"/>
      <c r="J117" s="272" t="n"/>
      <c r="K117" s="261" t="n"/>
    </row>
    <row r="118" ht="15" customHeight="1" s="74">
      <c r="A118" s="313" t="inlineStr">
        <is>
          <t>P/E × EPS</t>
        </is>
      </c>
      <c r="B118" s="419" t="n">
        <v>50.3</v>
      </c>
      <c r="C118" s="416" t="n">
        <v>40</v>
      </c>
      <c r="D118" s="335" t="n">
        <v>28.1</v>
      </c>
      <c r="E118" s="350">
        <f>IFERROR(C118*Data!L27,"-")</f>
        <v/>
      </c>
      <c r="F118" s="315" t="n"/>
      <c r="G118" s="315" t="n"/>
      <c r="H118" s="315" t="n"/>
      <c r="I118" s="315" t="n"/>
      <c r="J118" s="315" t="n"/>
      <c r="K118" s="261" t="n"/>
      <c r="M118" s="308" t="inlineStr">
        <is>
          <t xml:space="preserve">market-researcher | valuation-agent | as-of: </t>
        </is>
      </c>
    </row>
    <row r="119" ht="15" customHeight="1" s="74">
      <c r="A119" s="313" t="inlineStr">
        <is>
          <t>EV/EBITDA × EBITDA</t>
        </is>
      </c>
      <c r="B119" s="407" t="n">
        <v>20.6</v>
      </c>
      <c r="C119" s="404" t="n">
        <v>16</v>
      </c>
      <c r="D119" s="334" t="n">
        <v>11.5</v>
      </c>
      <c r="E119" s="351">
        <f>IFERROR((C119*Data!L20-B56-B57+B58)/B60,"-")</f>
        <v/>
      </c>
      <c r="F119" s="272" t="n"/>
      <c r="G119" s="272" t="n"/>
      <c r="H119" s="272" t="n"/>
      <c r="I119" s="272" t="n"/>
      <c r="J119" s="272" t="n"/>
      <c r="K119" s="261" t="n"/>
      <c r="M119" s="308" t="inlineStr">
        <is>
          <t xml:space="preserve">market-researcher | valuation-agent | as-of: </t>
        </is>
      </c>
    </row>
    <row r="120" ht="15" customHeight="1" s="74">
      <c r="A120" s="313" t="inlineStr">
        <is>
          <t>EV/EBIT × EBIT</t>
        </is>
      </c>
      <c r="B120" s="407" t="n">
        <v>37.6</v>
      </c>
      <c r="C120" s="416" t="n">
        <v>26</v>
      </c>
      <c r="D120" s="335" t="n">
        <v>21</v>
      </c>
      <c r="E120" s="350">
        <f>IFERROR((C120*Data!L22-B56-B57+B58)/B60,"-")</f>
        <v/>
      </c>
      <c r="F120" s="315" t="n"/>
      <c r="G120" s="315" t="n"/>
      <c r="H120" s="315" t="n"/>
      <c r="I120" s="315" t="n"/>
      <c r="J120" s="315" t="n"/>
      <c r="K120" s="261" t="n"/>
      <c r="M120" s="308" t="inlineStr">
        <is>
          <t xml:space="preserve">market-researcher | valuation-agent | as-of: </t>
        </is>
      </c>
    </row>
    <row r="121" ht="15" customHeight="1" s="74">
      <c r="A121" s="313" t="inlineStr">
        <is>
          <t>P/FCF × FCF/Share</t>
        </is>
      </c>
      <c r="B121" s="419" t="n">
        <v>400</v>
      </c>
      <c r="C121" s="404" t="n">
        <v>22</v>
      </c>
      <c r="D121" s="334" t="n">
        <v>223.8</v>
      </c>
      <c r="E121" s="351">
        <f>IFERROR(C121*(Data!L53/B60),"-")</f>
        <v/>
      </c>
      <c r="F121" s="272" t="n"/>
      <c r="G121" s="272" t="n"/>
      <c r="H121" s="272" t="n"/>
      <c r="I121" s="272" t="n"/>
      <c r="J121" s="272" t="n"/>
      <c r="K121" s="261" t="n"/>
      <c r="M121" s="308" t="inlineStr">
        <is>
          <t xml:space="preserve">market-researcher | valuation-agent | as-of: </t>
        </is>
      </c>
    </row>
    <row r="122" ht="15" customHeight="1" s="74">
      <c r="A122" s="313" t="inlineStr">
        <is>
          <t>FCF Yield → Price</t>
        </is>
      </c>
      <c r="B122" s="419" t="n">
        <v>0.0025</v>
      </c>
      <c r="C122" s="401" t="n">
        <v>0.03</v>
      </c>
      <c r="D122" s="335" t="n">
        <v>0.0045</v>
      </c>
      <c r="E122" s="350">
        <f>IFERROR((Data!L53/B60)/C122,"-")</f>
        <v/>
      </c>
      <c r="F122" s="315" t="n"/>
      <c r="G122" s="315" t="n"/>
      <c r="H122" s="315" t="n"/>
      <c r="I122" s="315" t="n"/>
      <c r="J122" s="315" t="n"/>
      <c r="K122" s="261" t="n"/>
      <c r="M122" s="308" t="inlineStr">
        <is>
          <t xml:space="preserve">market-researcher | valuation-agent | as-of: </t>
        </is>
      </c>
    </row>
    <row r="123">
      <c r="A123" s="2" t="n"/>
      <c r="B123" s="408" t="n"/>
      <c r="C123" s="2" t="n"/>
      <c r="D123" s="2" t="n"/>
      <c r="E123" s="2" t="n"/>
      <c r="F123" s="2" t="n"/>
      <c r="G123" s="2" t="n"/>
      <c r="H123" s="2" t="n"/>
      <c r="I123" s="2" t="n"/>
      <c r="J123" s="2" t="n"/>
    </row>
    <row r="124" ht="19" customHeight="1" s="74">
      <c r="A124" s="226" t="inlineStr">
        <is>
          <t>5. REVERSE DCF — IMPLIED GROWTH AT CURRENT PRICE</t>
        </is>
      </c>
    </row>
    <row r="125" ht="15" customHeight="1" s="74">
      <c r="A125" s="318" t="inlineStr">
        <is>
          <t>Current Market Cap ($M)</t>
        </is>
      </c>
      <c r="B125" s="407" t="n"/>
      <c r="C125" s="272" t="n"/>
      <c r="D125" s="272" t="n"/>
      <c r="E125" s="272" t="n"/>
      <c r="F125" s="272" t="n"/>
      <c r="G125" s="272" t="n"/>
      <c r="H125" s="272" t="n"/>
      <c r="I125" s="272" t="n"/>
      <c r="J125" s="272" t="n"/>
      <c r="K125" s="261" t="n"/>
    </row>
    <row r="126" ht="15" customHeight="1" s="74">
      <c r="A126" s="321" t="inlineStr">
        <is>
          <t>Current Enterprise Value ($M)</t>
        </is>
      </c>
      <c r="B126" s="407" t="n"/>
      <c r="C126" s="315" t="n"/>
      <c r="D126" s="315" t="n"/>
      <c r="E126" s="315" t="n"/>
      <c r="F126" s="315" t="n"/>
      <c r="G126" s="315" t="n"/>
      <c r="H126" s="315" t="n"/>
      <c r="I126" s="315" t="n"/>
      <c r="J126" s="315" t="n"/>
      <c r="K126" s="261" t="n"/>
    </row>
    <row r="127" ht="15" customHeight="1" s="74">
      <c r="A127" s="318" t="inlineStr">
        <is>
          <t>Latest UFCF ($M, proxy = FCF)</t>
        </is>
      </c>
      <c r="B127" s="407" t="n"/>
      <c r="C127" s="272" t="n"/>
      <c r="D127" s="272" t="n"/>
      <c r="E127" s="272" t="n"/>
      <c r="F127" s="272" t="n"/>
      <c r="G127" s="272" t="n"/>
      <c r="H127" s="272" t="n"/>
      <c r="I127" s="272" t="n"/>
      <c r="J127" s="272" t="n"/>
      <c r="K127" s="261" t="n"/>
    </row>
    <row r="128" ht="15" customHeight="1" s="74">
      <c r="A128" s="313" t="inlineStr">
        <is>
          <t>Assumed margin stable at (%)</t>
        </is>
      </c>
      <c r="B128" s="420" t="n"/>
      <c r="C128" s="315" t="n"/>
      <c r="D128" s="315" t="n"/>
      <c r="E128" s="315" t="n"/>
      <c r="F128" s="315" t="n"/>
      <c r="G128" s="315" t="n"/>
      <c r="H128" s="315" t="n"/>
      <c r="I128" s="315" t="n"/>
      <c r="J128" s="315" t="n"/>
      <c r="K128" s="261" t="n"/>
    </row>
    <row r="129" ht="15" customHeight="1" s="74">
      <c r="A129" s="318" t="inlineStr">
        <is>
          <t>Terminal Growth (same as Base)</t>
        </is>
      </c>
      <c r="B129" s="409">
        <f>IFERROR(B26,"-")</f>
        <v/>
      </c>
      <c r="C129" s="272" t="n"/>
      <c r="D129" s="272" t="n"/>
      <c r="E129" s="272" t="n"/>
      <c r="F129" s="272" t="n"/>
      <c r="G129" s="272" t="n"/>
      <c r="H129" s="272" t="n"/>
      <c r="I129" s="272" t="n"/>
      <c r="J129" s="272" t="n"/>
      <c r="K129" s="261" t="n"/>
    </row>
    <row r="130" ht="15" customHeight="1" s="74">
      <c r="A130" s="331" t="inlineStr">
        <is>
          <t>Implied Perpetuity Growth Rate</t>
        </is>
      </c>
      <c r="B130" s="399" t="n"/>
      <c r="C130" s="315" t="n"/>
      <c r="D130" s="315" t="n"/>
      <c r="E130" s="315" t="n"/>
      <c r="F130" s="315" t="n"/>
      <c r="G130" s="315" t="n"/>
      <c r="H130" s="315" t="n"/>
      <c r="I130" s="315" t="n"/>
      <c r="J130" s="315" t="n"/>
      <c r="K130" s="261" t="n"/>
    </row>
    <row r="131" ht="15" customHeight="1" s="74">
      <c r="A131" s="318" t="inlineStr">
        <is>
          <t>Interpretation</t>
        </is>
      </c>
      <c r="B131" s="421" t="n"/>
      <c r="C131" s="272" t="n"/>
      <c r="D131" s="272" t="n"/>
      <c r="E131" s="272" t="n"/>
      <c r="F131" s="272" t="n"/>
      <c r="G131" s="272" t="n"/>
      <c r="H131" s="272" t="n"/>
      <c r="I131" s="272" t="n"/>
      <c r="J131" s="272" t="n"/>
      <c r="K131" s="261" t="n"/>
    </row>
    <row r="132" ht="15" customHeight="1" s="74">
      <c r="A132" s="10" t="n"/>
      <c r="B132" s="408" t="n"/>
      <c r="C132" s="10" t="n"/>
      <c r="D132" s="10" t="n"/>
      <c r="E132" s="10" t="n"/>
      <c r="F132" s="10" t="n"/>
      <c r="G132" s="10" t="n"/>
      <c r="H132" s="10" t="n"/>
      <c r="I132" s="10" t="n"/>
      <c r="J132" s="10" t="n"/>
    </row>
    <row r="133" ht="19" customHeight="1" s="74">
      <c r="A133" s="226" t="inlineStr">
        <is>
          <t>6. COMPOSITE FAIR VALUE</t>
        </is>
      </c>
    </row>
    <row r="134" ht="15" customHeight="1" s="74">
      <c r="A134" s="322" t="inlineStr">
        <is>
          <t>Method</t>
        </is>
      </c>
      <c r="B134" s="418" t="n"/>
      <c r="C134" s="322" t="n"/>
      <c r="D134" s="322" t="n"/>
      <c r="E134" s="322" t="n"/>
      <c r="F134" s="315" t="n"/>
      <c r="G134" s="315" t="n"/>
      <c r="H134" s="315" t="n"/>
      <c r="I134" s="315" t="n"/>
      <c r="J134" s="315" t="n"/>
      <c r="K134" s="261" t="n"/>
    </row>
    <row r="135" ht="15" customHeight="1" s="74">
      <c r="A135" s="318" t="inlineStr">
        <is>
          <t>DCF (Section 2/3)</t>
        </is>
      </c>
      <c r="B135" s="419" t="n">
        <v>133.29</v>
      </c>
      <c r="C135" s="351" t="n">
        <v>158.87</v>
      </c>
      <c r="D135" s="351" t="n">
        <v>188.65</v>
      </c>
      <c r="E135" s="354" t="n"/>
      <c r="F135" s="272" t="n"/>
      <c r="G135" s="272" t="n"/>
      <c r="H135" s="272" t="n"/>
      <c r="I135" s="272" t="n"/>
      <c r="J135" s="272" t="n"/>
      <c r="K135" s="261" t="n"/>
      <c r="M135" s="308" t="inlineStr">
        <is>
          <t xml:space="preserve">market-researcher | valuation-agent | as-of: </t>
        </is>
      </c>
    </row>
    <row r="136" ht="15" customHeight="1" s="74">
      <c r="A136" s="321" t="inlineStr">
        <is>
          <t>P/E Relative (Section 4)</t>
        </is>
      </c>
      <c r="B136" s="419" t="n">
        <v>192.1</v>
      </c>
      <c r="C136" s="350" t="n">
        <v>226</v>
      </c>
      <c r="D136" s="350" t="n">
        <v>259.9</v>
      </c>
      <c r="E136" s="355" t="n"/>
      <c r="F136" s="315" t="n"/>
      <c r="G136" s="315" t="n"/>
      <c r="H136" s="315" t="n"/>
      <c r="I136" s="315" t="n"/>
      <c r="J136" s="315" t="n"/>
      <c r="K136" s="261" t="n"/>
      <c r="M136" s="308" t="inlineStr">
        <is>
          <t xml:space="preserve">market-researcher | valuation-agent | as-of: </t>
        </is>
      </c>
    </row>
    <row r="137" ht="15" customHeight="1" s="74">
      <c r="A137" s="318" t="inlineStr">
        <is>
          <t>EV/EBITDA Relative (Section 4)</t>
        </is>
      </c>
      <c r="B137" s="419">
        <f>IFERROR((B183*Data!L20-B56-B57+B58)/B60,"-")</f>
        <v/>
      </c>
      <c r="C137" s="351">
        <f>IFERROR((C119*Data!L20-B56-B57+B58)/B60,"-")</f>
        <v/>
      </c>
      <c r="D137" s="351">
        <f>IFERROR((B184*Data!L20-B56-B57+B58)/B60,"-")</f>
        <v/>
      </c>
      <c r="E137" s="354" t="n"/>
      <c r="F137" s="272" t="n"/>
      <c r="G137" s="272" t="n"/>
      <c r="H137" s="272" t="n"/>
      <c r="I137" s="272" t="n"/>
      <c r="J137" s="272" t="n"/>
      <c r="K137" s="261" t="n"/>
      <c r="M137" s="308" t="inlineStr">
        <is>
          <t xml:space="preserve">market-researcher | valuation-agent | as-of: </t>
        </is>
      </c>
    </row>
    <row r="138" ht="15" customHeight="1" s="74">
      <c r="A138" s="321" t="inlineStr">
        <is>
          <t>FCF Yield (Section 4)</t>
        </is>
      </c>
      <c r="B138" s="419" t="n">
        <v>116.03</v>
      </c>
      <c r="C138" s="350" t="n">
        <v>133.44</v>
      </c>
      <c r="D138" s="350" t="n">
        <v>156.99</v>
      </c>
      <c r="E138" s="355" t="n"/>
      <c r="F138" s="315" t="n"/>
      <c r="G138" s="315" t="n"/>
      <c r="H138" s="315" t="n"/>
      <c r="I138" s="315" t="n"/>
      <c r="J138" s="315" t="n"/>
      <c r="K138" s="261" t="n"/>
      <c r="M138" s="308" t="inlineStr">
        <is>
          <t xml:space="preserve">market-researcher | valuation-agent | as-of: </t>
        </is>
      </c>
    </row>
    <row r="139">
      <c r="A139" s="2" t="n"/>
      <c r="B139" s="408" t="n"/>
      <c r="C139" s="2" t="n"/>
      <c r="D139" s="2" t="n"/>
      <c r="E139" s="2" t="n"/>
      <c r="F139" s="2" t="n"/>
      <c r="G139" s="2" t="n"/>
      <c r="H139" s="2" t="n"/>
      <c r="I139" s="2" t="n"/>
      <c r="J139" s="2" t="n"/>
    </row>
    <row r="140" ht="15" customHeight="1" s="74">
      <c r="A140" s="331" t="inlineStr">
        <is>
          <t>Weighted FV / Scenario</t>
        </is>
      </c>
      <c r="B140" s="422" t="n"/>
      <c r="C140" s="357" t="n"/>
      <c r="D140" s="357" t="n"/>
      <c r="E140" s="326" t="n"/>
      <c r="F140" s="315" t="n"/>
      <c r="G140" s="315" t="n"/>
      <c r="H140" s="315" t="n"/>
      <c r="I140" s="315" t="n"/>
      <c r="J140" s="315" t="n"/>
      <c r="K140" s="261" t="n"/>
    </row>
    <row r="141" ht="15" customHeight="1" s="74">
      <c r="A141" s="313" t="inlineStr">
        <is>
          <t>Scenario Probability</t>
        </is>
      </c>
      <c r="B141" s="402" t="n">
        <v>0.25</v>
      </c>
      <c r="C141" s="402" t="n">
        <v>0.5</v>
      </c>
      <c r="D141" s="402" t="n">
        <v>0.25</v>
      </c>
      <c r="E141" s="324" t="n"/>
      <c r="F141" s="272" t="n"/>
      <c r="G141" s="272" t="n"/>
      <c r="H141" s="272" t="n"/>
      <c r="I141" s="272" t="n"/>
      <c r="J141" s="272" t="n"/>
      <c r="K141" s="261" t="n"/>
    </row>
    <row r="142" ht="15" customHeight="1" s="74">
      <c r="A142" s="10" t="n"/>
      <c r="B142" s="10" t="n"/>
      <c r="C142" s="10" t="n"/>
      <c r="D142" s="10" t="n"/>
      <c r="E142" s="10" t="n"/>
      <c r="F142" s="10" t="n"/>
      <c r="G142" s="10" t="n"/>
      <c r="H142" s="10" t="n"/>
      <c r="I142" s="10" t="n"/>
      <c r="J142" s="10" t="n"/>
    </row>
    <row r="143" ht="17.25" customHeight="1" s="74">
      <c r="A143" s="343" t="inlineStr">
        <is>
          <t>COMPOSITE FAIR VALUE</t>
        </is>
      </c>
      <c r="B143" s="358">
        <f>IFERROR((B135+B136+B137+B138)/4,"-")</f>
        <v/>
      </c>
      <c r="C143" s="324">
        <f>IFERROR((C135+C136+C137+C138)/4,"-")</f>
        <v/>
      </c>
      <c r="D143" s="324">
        <f>IFERROR((D135+D136+D137+D138)/4,"-")</f>
        <v/>
      </c>
      <c r="E143" s="324" t="n"/>
      <c r="F143" s="272" t="n"/>
      <c r="G143" s="272" t="n"/>
      <c r="H143" s="272" t="n"/>
      <c r="I143" s="272" t="n"/>
      <c r="J143" s="272" t="n"/>
      <c r="K143" s="261" t="n"/>
      <c r="M143" s="308" t="n"/>
    </row>
    <row r="144" ht="15" customHeight="1" s="74">
      <c r="A144" s="321" t="inlineStr">
        <is>
          <t>Current Share Price</t>
        </is>
      </c>
      <c r="B144" s="359" t="n">
        <v>284.02</v>
      </c>
      <c r="C144" s="326" t="n"/>
      <c r="D144" s="326" t="n"/>
      <c r="E144" s="326" t="n"/>
      <c r="F144" s="315" t="n"/>
      <c r="G144" s="315" t="n"/>
      <c r="H144" s="315" t="n"/>
      <c r="I144" s="315" t="n"/>
      <c r="J144" s="315" t="n"/>
      <c r="K144" s="261" t="n"/>
    </row>
    <row r="145" ht="15" customHeight="1" s="74">
      <c r="A145" s="343" t="inlineStr">
        <is>
          <t>Upside / Downside</t>
        </is>
      </c>
      <c r="B145" s="360">
        <f>IFERROR((C143-B144)/B144,"-")</f>
        <v/>
      </c>
      <c r="C145" s="324" t="n"/>
      <c r="D145" s="324" t="n"/>
      <c r="E145" s="324" t="n"/>
      <c r="F145" s="272" t="n"/>
      <c r="G145" s="272" t="n"/>
      <c r="H145" s="272" t="n"/>
      <c r="I145" s="272" t="n"/>
      <c r="J145" s="272" t="n"/>
      <c r="K145" s="261" t="n"/>
      <c r="M145" s="308" t="n"/>
    </row>
    <row r="146" ht="15" customHeight="1" s="74">
      <c r="A146" s="10" t="n"/>
      <c r="B146" s="10" t="n"/>
      <c r="C146" s="10" t="n"/>
      <c r="D146" s="10" t="n"/>
      <c r="E146" s="10" t="n"/>
      <c r="F146" s="10" t="n"/>
      <c r="G146" s="10" t="n"/>
      <c r="H146" s="10" t="n"/>
      <c r="I146" s="10" t="n"/>
      <c r="J146" s="10" t="n"/>
    </row>
    <row r="147" ht="19" customHeight="1" s="74">
      <c r="A147" s="226" t="inlineStr">
        <is>
          <t>7. SENSITIVITY: WACC × TERMINAL GROWTH → DCF FV/SHARE</t>
        </is>
      </c>
    </row>
    <row r="148" ht="15" customHeight="1" s="74">
      <c r="A148" s="361" t="inlineStr">
        <is>
          <t>| WACC \\ TGR | 2.0% | 2.5% | 3.0% | 3.5% | 4.0% |
|---|---|---|---|---|---|
| 9.9% | 92.0 | 97.5 | 103.8 | 111.0 | 119.5 |
| 10.4% | 85.7 | 90.5 | 95.8 | 102.0 | 109.1 |
| **10.9%** | 80.2 | 84.3 | 88.9 | **94.2** | 100.2 |
| 11.4% | 75.2 | 78.8 | 82.9 | 87.4 | 92.6 |
| 11.9% | 70.7 | 73.9 | 77.5 | 81.5 | 85.9 |</t>
        </is>
      </c>
      <c r="B148" s="362">
        <f>IFERROR($B$26-0.015,"-")</f>
        <v/>
      </c>
      <c r="C148" s="362">
        <f>IFERROR($B$26-0.01,"-")</f>
        <v/>
      </c>
      <c r="D148" s="362">
        <f>IFERROR($B$26-0.005,"-")</f>
        <v/>
      </c>
      <c r="E148" s="362">
        <f>IFERROR($B$26,"-")</f>
        <v/>
      </c>
      <c r="F148" s="362">
        <f>IFERROR($B$26+0.005,"-")</f>
        <v/>
      </c>
      <c r="G148" s="362">
        <f>IFERROR($B$26+0.01,"-")</f>
        <v/>
      </c>
      <c r="H148" s="362">
        <f>IFERROR($B$26+0.015,"-")</f>
        <v/>
      </c>
      <c r="I148" s="315" t="n"/>
      <c r="J148" s="315" t="n"/>
      <c r="K148" s="261" t="n"/>
      <c r="M148" s="308" t="inlineStr">
        <is>
          <t xml:space="preserve">market-researcher | valuation-agent | as-of: </t>
        </is>
      </c>
    </row>
    <row r="149" ht="15" customHeight="1" s="74">
      <c r="A149" s="363">
        <f>IFERROR($B$15-0.02,"-")</f>
        <v/>
      </c>
      <c r="B149" s="351">
        <f>IFERROR((B40/(1+$A149)^1+C40/(1+$A149)^2+D40/(1+$A149)^3+E40/(1+$A149)^4+F40/(1+$A149)^5+(F40*(1+B$148)/($A149-B$148))/(1+$A149)^5-B56-B57+B58)/B60,"-")</f>
        <v/>
      </c>
      <c r="C149" s="351">
        <f>IFERROR((B40/(1+$A149)^1+C40/(1+$A149)^2+D40/(1+$A149)^3+E40/(1+$A149)^4+F40/(1+$A149)^5+(F40*(1+C$148)/($A149-C$148))/(1+$A149)^5-B56-B57+B58)/B60,"-")</f>
        <v/>
      </c>
      <c r="D149" s="351">
        <f>IFERROR((B40/(1+$A149)^1+C40/(1+$A149)^2+D40/(1+$A149)^3+E40/(1+$A149)^4+F40/(1+$A149)^5+(F40*(1+D$148)/($A149-D$148))/(1+$A149)^5-B56-B57+B58)/B60,"-")</f>
        <v/>
      </c>
      <c r="E149" s="351">
        <f>IFERROR((B40/(1+$A149)^1+C40/(1+$A149)^2+D40/(1+$A149)^3+E40/(1+$A149)^4+F40/(1+$A149)^5+(F40*(1+E$148)/($A149-E$148))/(1+$A149)^5-B56-B57+B58)/B60,"-")</f>
        <v/>
      </c>
      <c r="F149" s="351">
        <f>IFERROR((B40/(1+$A149)^1+C40/(1+$A149)^2+D40/(1+$A149)^3+E40/(1+$A149)^4+F40/(1+$A149)^5+(F40*(1+F$148)/($A149-F$148))/(1+$A149)^5-B56-B57+B58)/B60,"-")</f>
        <v/>
      </c>
      <c r="G149" s="351">
        <f>IFERROR((B40/(1+$A149)^1+C40/(1+$A149)^2+D40/(1+$A149)^3+E40/(1+$A149)^4+F40/(1+$A149)^5+(F40*(1+G$148)/($A149-G$148))/(1+$A149)^5-B56-B57+B58)/B60,"-")</f>
        <v/>
      </c>
      <c r="H149" s="351">
        <f>IFERROR((B40/(1+$A149)^1+C40/(1+$A149)^2+D40/(1+$A149)^3+E40/(1+$A149)^4+F40/(1+$A149)^5+(F40*(1+H$148)/($A149-H$148))/(1+$A149)^5-B56-B57+B58)/B60,"-")</f>
        <v/>
      </c>
      <c r="I149" s="272" t="n"/>
      <c r="J149" s="272" t="n"/>
      <c r="K149" s="261" t="n"/>
    </row>
    <row r="150" ht="15" customHeight="1" s="74">
      <c r="A150" s="364">
        <f>IFERROR($B$15-0.015,"-")</f>
        <v/>
      </c>
      <c r="B150" s="350">
        <f>IFERROR((B40/(1+$A150)^1+C40/(1+$A150)^2+D40/(1+$A150)^3+E40/(1+$A150)^4+F40/(1+$A150)^5+(F40*(1+B$148)/($A150-B$148))/(1+$A150)^5-B56-B57+B58)/B60,"-")</f>
        <v/>
      </c>
      <c r="C150" s="350">
        <f>IFERROR((B40/(1+$A150)^1+C40/(1+$A150)^2+D40/(1+$A150)^3+E40/(1+$A150)^4+F40/(1+$A150)^5+(F40*(1+C$148)/($A150-C$148))/(1+$A150)^5-B56-B57+B58)/B60,"-")</f>
        <v/>
      </c>
      <c r="D150" s="350">
        <f>IFERROR((B40/(1+$A150)^1+C40/(1+$A150)^2+D40/(1+$A150)^3+E40/(1+$A150)^4+F40/(1+$A150)^5+(F40*(1+D$148)/($A150-D$148))/(1+$A150)^5-B56-B57+B58)/B60,"-")</f>
        <v/>
      </c>
      <c r="E150" s="350">
        <f>IFERROR((B40/(1+$A150)^1+C40/(1+$A150)^2+D40/(1+$A150)^3+E40/(1+$A150)^4+F40/(1+$A150)^5+(F40*(1+E$148)/($A150-E$148))/(1+$A150)^5-B56-B57+B58)/B60,"-")</f>
        <v/>
      </c>
      <c r="F150" s="350">
        <f>IFERROR((B40/(1+$A150)^1+C40/(1+$A150)^2+D40/(1+$A150)^3+E40/(1+$A150)^4+F40/(1+$A150)^5+(F40*(1+F$148)/($A150-F$148))/(1+$A150)^5-B56-B57+B58)/B60,"-")</f>
        <v/>
      </c>
      <c r="G150" s="350">
        <f>IFERROR((B40/(1+$A150)^1+C40/(1+$A150)^2+D40/(1+$A150)^3+E40/(1+$A150)^4+F40/(1+$A150)^5+(F40*(1+G$148)/($A150-G$148))/(1+$A150)^5-B56-B57+B58)/B60,"-")</f>
        <v/>
      </c>
      <c r="H150" s="350">
        <f>IFERROR((B40/(1+$A150)^1+C40/(1+$A150)^2+D40/(1+$A150)^3+E40/(1+$A150)^4+F40/(1+$A150)^5+(F40*(1+H$148)/($A150-H$148))/(1+$A150)^5-B56-B57+B58)/B60,"-")</f>
        <v/>
      </c>
      <c r="I150" s="315" t="n"/>
      <c r="J150" s="315" t="n"/>
      <c r="K150" s="261" t="n"/>
    </row>
    <row r="151" ht="15" customHeight="1" s="74">
      <c r="A151" s="363">
        <f>IFERROR($B$15-0.01,"-")</f>
        <v/>
      </c>
      <c r="B151" s="351">
        <f>IFERROR((B40/(1+$A151)^1+C40/(1+$A151)^2+D40/(1+$A151)^3+E40/(1+$A151)^4+F40/(1+$A151)^5+(F40*(1+B$148)/($A151-B$148))/(1+$A151)^5-B56-B57+B58)/B60,"-")</f>
        <v/>
      </c>
      <c r="C151" s="351">
        <f>IFERROR((B40/(1+$A151)^1+C40/(1+$A151)^2+D40/(1+$A151)^3+E40/(1+$A151)^4+F40/(1+$A151)^5+(F40*(1+C$148)/($A151-C$148))/(1+$A151)^5-B56-B57+B58)/B60,"-")</f>
        <v/>
      </c>
      <c r="D151" s="351">
        <f>IFERROR((B40/(1+$A151)^1+C40/(1+$A151)^2+D40/(1+$A151)^3+E40/(1+$A151)^4+F40/(1+$A151)^5+(F40*(1+D$148)/($A151-D$148))/(1+$A151)^5-B56-B57+B58)/B60,"-")</f>
        <v/>
      </c>
      <c r="E151" s="351">
        <f>IFERROR((B40/(1+$A151)^1+C40/(1+$A151)^2+D40/(1+$A151)^3+E40/(1+$A151)^4+F40/(1+$A151)^5+(F40*(1+E$148)/($A151-E$148))/(1+$A151)^5-B56-B57+B58)/B60,"-")</f>
        <v/>
      </c>
      <c r="F151" s="351">
        <f>IFERROR((B40/(1+$A151)^1+C40/(1+$A151)^2+D40/(1+$A151)^3+E40/(1+$A151)^4+F40/(1+$A151)^5+(F40*(1+F$148)/($A151-F$148))/(1+$A151)^5-B56-B57+B58)/B60,"-")</f>
        <v/>
      </c>
      <c r="G151" s="351">
        <f>IFERROR((B40/(1+$A151)^1+C40/(1+$A151)^2+D40/(1+$A151)^3+E40/(1+$A151)^4+F40/(1+$A151)^5+(F40*(1+G$148)/($A151-G$148))/(1+$A151)^5-B56-B57+B58)/B60,"-")</f>
        <v/>
      </c>
      <c r="H151" s="351">
        <f>IFERROR((B40/(1+$A151)^1+C40/(1+$A151)^2+D40/(1+$A151)^3+E40/(1+$A151)^4+F40/(1+$A151)^5+(F40*(1+H$148)/($A151-H$148))/(1+$A151)^5-B56-B57+B58)/B60,"-")</f>
        <v/>
      </c>
      <c r="I151" s="272" t="n"/>
      <c r="J151" s="272" t="n"/>
      <c r="K151" s="261" t="n"/>
    </row>
    <row r="152" ht="15" customHeight="1" s="74">
      <c r="A152" s="364">
        <f>IFERROR($B$15-0.005,"-")</f>
        <v/>
      </c>
      <c r="B152" s="350">
        <f>IFERROR((B40/(1+$A152)^1+C40/(1+$A152)^2+D40/(1+$A152)^3+E40/(1+$A152)^4+F40/(1+$A152)^5+(F40*(1+B$148)/($A152-B$148))/(1+$A152)^5-B56-B57+B58)/B60,"-")</f>
        <v/>
      </c>
      <c r="C152" s="350">
        <f>IFERROR((B40/(1+$A152)^1+C40/(1+$A152)^2+D40/(1+$A152)^3+E40/(1+$A152)^4+F40/(1+$A152)^5+(F40*(1+C$148)/($A152-C$148))/(1+$A152)^5-B56-B57+B58)/B60,"-")</f>
        <v/>
      </c>
      <c r="D152" s="350">
        <f>IFERROR((B40/(1+$A152)^1+C40/(1+$A152)^2+D40/(1+$A152)^3+E40/(1+$A152)^4+F40/(1+$A152)^5+(F40*(1+D$148)/($A152-D$148))/(1+$A152)^5-B56-B57+B58)/B60,"-")</f>
        <v/>
      </c>
      <c r="E152" s="350">
        <f>IFERROR((B40/(1+$A152)^1+C40/(1+$A152)^2+D40/(1+$A152)^3+E40/(1+$A152)^4+F40/(1+$A152)^5+(F40*(1+E$148)/($A152-E$148))/(1+$A152)^5-B56-B57+B58)/B60,"-")</f>
        <v/>
      </c>
      <c r="F152" s="350">
        <f>IFERROR((B40/(1+$A152)^1+C40/(1+$A152)^2+D40/(1+$A152)^3+E40/(1+$A152)^4+F40/(1+$A152)^5+(F40*(1+F$148)/($A152-F$148))/(1+$A152)^5-B56-B57+B58)/B60,"-")</f>
        <v/>
      </c>
      <c r="G152" s="350">
        <f>IFERROR((B40/(1+$A152)^1+C40/(1+$A152)^2+D40/(1+$A152)^3+E40/(1+$A152)^4+F40/(1+$A152)^5+(F40*(1+G$148)/($A152-G$148))/(1+$A152)^5-B56-B57+B58)/B60,"-")</f>
        <v/>
      </c>
      <c r="H152" s="350">
        <f>IFERROR((B40/(1+$A152)^1+C40/(1+$A152)^2+D40/(1+$A152)^3+E40/(1+$A152)^4+F40/(1+$A152)^5+(F40*(1+H$148)/($A152-H$148))/(1+$A152)^5-B56-B57+B58)/B60,"-")</f>
        <v/>
      </c>
      <c r="I152" s="315" t="n"/>
      <c r="J152" s="315" t="n"/>
      <c r="K152" s="261" t="n"/>
    </row>
    <row r="153" ht="15" customHeight="1" s="74">
      <c r="A153" s="365">
        <f>IFERROR($B$15,"-")</f>
        <v/>
      </c>
      <c r="B153" s="351">
        <f>IFERROR((B40/(1+$A153)^1+C40/(1+$A153)^2+D40/(1+$A153)^3+E40/(1+$A153)^4+F40/(1+$A153)^5+(F40*(1+B$148)/($A153-B$148))/(1+$A153)^5-B56-B57+B58)/B60,"-")</f>
        <v/>
      </c>
      <c r="C153" s="351">
        <f>IFERROR((B40/(1+$A153)^1+C40/(1+$A153)^2+D40/(1+$A153)^3+E40/(1+$A153)^4+F40/(1+$A153)^5+(F40*(1+C$148)/($A153-C$148))/(1+$A153)^5-B56-B57+B58)/B60,"-")</f>
        <v/>
      </c>
      <c r="D153" s="351">
        <f>IFERROR((B40/(1+$A153)^1+C40/(1+$A153)^2+D40/(1+$A153)^3+E40/(1+$A153)^4+F40/(1+$A153)^5+(F40*(1+D$148)/($A153-D$148))/(1+$A153)^5-B56-B57+B58)/B60,"-")</f>
        <v/>
      </c>
      <c r="E153" s="366">
        <f>IFERROR((B40/(1+$A153)^1+C40/(1+$A153)^2+D40/(1+$A153)^3+E40/(1+$A153)^4+F40/(1+$A153)^5+(F40*(1+E$148)/($A153-E$148))/(1+$A153)^5-B56-B57+B58)/B60,"-")</f>
        <v/>
      </c>
      <c r="F153" s="351">
        <f>IFERROR((B40/(1+$A153)^1+C40/(1+$A153)^2+D40/(1+$A153)^3+E40/(1+$A153)^4+F40/(1+$A153)^5+(F40*(1+F$148)/($A153-F$148))/(1+$A153)^5-B56-B57+B58)/B60,"-")</f>
        <v/>
      </c>
      <c r="G153" s="351">
        <f>IFERROR((B40/(1+$A153)^1+C40/(1+$A153)^2+D40/(1+$A153)^3+E40/(1+$A153)^4+F40/(1+$A153)^5+(F40*(1+G$148)/($A153-G$148))/(1+$A153)^5-B56-B57+B58)/B60,"-")</f>
        <v/>
      </c>
      <c r="H153" s="351">
        <f>IFERROR((B40/(1+$A153)^1+C40/(1+$A153)^2+D40/(1+$A153)^3+E40/(1+$A153)^4+F40/(1+$A153)^5+(F40*(1+H$148)/($A153-H$148))/(1+$A153)^5-B56-B57+B58)/B60,"-")</f>
        <v/>
      </c>
      <c r="I153" s="272" t="n"/>
      <c r="J153" s="272" t="n"/>
      <c r="K153" s="261" t="n"/>
    </row>
    <row r="154" ht="15" customHeight="1" s="74">
      <c r="A154" s="364">
        <f>IFERROR($B$15+0.005,"-")</f>
        <v/>
      </c>
      <c r="B154" s="350">
        <f>IFERROR((B40/(1+$A154)^1+C40/(1+$A154)^2+D40/(1+$A154)^3+E40/(1+$A154)^4+F40/(1+$A154)^5+(F40*(1+B$148)/($A154-B$148))/(1+$A154)^5-B56-B57+B58)/B60,"-")</f>
        <v/>
      </c>
      <c r="C154" s="350">
        <f>IFERROR((B40/(1+$A154)^1+C40/(1+$A154)^2+D40/(1+$A154)^3+E40/(1+$A154)^4+F40/(1+$A154)^5+(F40*(1+C$148)/($A154-C$148))/(1+$A154)^5-B56-B57+B58)/B60,"-")</f>
        <v/>
      </c>
      <c r="D154" s="350">
        <f>IFERROR((B40/(1+$A154)^1+C40/(1+$A154)^2+D40/(1+$A154)^3+E40/(1+$A154)^4+F40/(1+$A154)^5+(F40*(1+D$148)/($A154-D$148))/(1+$A154)^5-B56-B57+B58)/B60,"-")</f>
        <v/>
      </c>
      <c r="E154" s="350">
        <f>IFERROR((B40/(1+$A154)^1+C40/(1+$A154)^2+D40/(1+$A154)^3+E40/(1+$A154)^4+F40/(1+$A154)^5+(F40*(1+E$148)/($A154-E$148))/(1+$A154)^5-B56-B57+B58)/B60,"-")</f>
        <v/>
      </c>
      <c r="F154" s="350">
        <f>IFERROR((B40/(1+$A154)^1+C40/(1+$A154)^2+D40/(1+$A154)^3+E40/(1+$A154)^4+F40/(1+$A154)^5+(F40*(1+F$148)/($A154-F$148))/(1+$A154)^5-B56-B57+B58)/B60,"-")</f>
        <v/>
      </c>
      <c r="G154" s="350">
        <f>IFERROR((B40/(1+$A154)^1+C40/(1+$A154)^2+D40/(1+$A154)^3+E40/(1+$A154)^4+F40/(1+$A154)^5+(F40*(1+G$148)/($A154-G$148))/(1+$A154)^5-B56-B57+B58)/B60,"-")</f>
        <v/>
      </c>
      <c r="H154" s="350">
        <f>IFERROR((B40/(1+$A154)^1+C40/(1+$A154)^2+D40/(1+$A154)^3+E40/(1+$A154)^4+F40/(1+$A154)^5+(F40*(1+H$148)/($A154-H$148))/(1+$A154)^5-B56-B57+B58)/B60,"-")</f>
        <v/>
      </c>
      <c r="I154" s="315" t="n"/>
      <c r="J154" s="315" t="n"/>
      <c r="K154" s="261" t="n"/>
    </row>
    <row r="155" ht="15" customHeight="1" s="74">
      <c r="A155" s="363">
        <f>IFERROR($B$15+0.01,"-")</f>
        <v/>
      </c>
      <c r="B155" s="351">
        <f>IFERROR((B40/(1+$A155)^1+C40/(1+$A155)^2+D40/(1+$A155)^3+E40/(1+$A155)^4+F40/(1+$A155)^5+(F40*(1+B$148)/($A155-B$148))/(1+$A155)^5-B56-B57+B58)/B60,"-")</f>
        <v/>
      </c>
      <c r="C155" s="351">
        <f>IFERROR((B40/(1+$A155)^1+C40/(1+$A155)^2+D40/(1+$A155)^3+E40/(1+$A155)^4+F40/(1+$A155)^5+(F40*(1+C$148)/($A155-C$148))/(1+$A155)^5-B56-B57+B58)/B60,"-")</f>
        <v/>
      </c>
      <c r="D155" s="351">
        <f>IFERROR((B40/(1+$A155)^1+C40/(1+$A155)^2+D40/(1+$A155)^3+E40/(1+$A155)^4+F40/(1+$A155)^5+(F40*(1+D$148)/($A155-D$148))/(1+$A155)^5-B56-B57+B58)/B60,"-")</f>
        <v/>
      </c>
      <c r="E155" s="351">
        <f>IFERROR((B40/(1+$A155)^1+C40/(1+$A155)^2+D40/(1+$A155)^3+E40/(1+$A155)^4+F40/(1+$A155)^5+(F40*(1+E$148)/($A155-E$148))/(1+$A155)^5-B56-B57+B58)/B60,"-")</f>
        <v/>
      </c>
      <c r="F155" s="351">
        <f>IFERROR((B40/(1+$A155)^1+C40/(1+$A155)^2+D40/(1+$A155)^3+E40/(1+$A155)^4+F40/(1+$A155)^5+(F40*(1+F$148)/($A155-F$148))/(1+$A155)^5-B56-B57+B58)/B60,"-")</f>
        <v/>
      </c>
      <c r="G155" s="351">
        <f>IFERROR((B40/(1+$A155)^1+C40/(1+$A155)^2+D40/(1+$A155)^3+E40/(1+$A155)^4+F40/(1+$A155)^5+(F40*(1+G$148)/($A155-G$148))/(1+$A155)^5-B56-B57+B58)/B60,"-")</f>
        <v/>
      </c>
      <c r="H155" s="351">
        <f>IFERROR((B40/(1+$A155)^1+C40/(1+$A155)^2+D40/(1+$A155)^3+E40/(1+$A155)^4+F40/(1+$A155)^5+(F40*(1+H$148)/($A155-H$148))/(1+$A155)^5-B56-B57+B58)/B60,"-")</f>
        <v/>
      </c>
      <c r="I155" s="272" t="n"/>
      <c r="J155" s="272" t="n"/>
      <c r="K155" s="261" t="n"/>
    </row>
    <row r="156" ht="15" customHeight="1" s="74">
      <c r="A156" s="364">
        <f>IFERROR($B$15+0.015,"-")</f>
        <v/>
      </c>
      <c r="B156" s="350">
        <f>IFERROR((B40/(1+$A156)^1+C40/(1+$A156)^2+D40/(1+$A156)^3+E40/(1+$A156)^4+F40/(1+$A156)^5+(F40*(1+B$148)/($A156-B$148))/(1+$A156)^5-B56-B57+B58)/B60,"-")</f>
        <v/>
      </c>
      <c r="C156" s="350">
        <f>IFERROR((B40/(1+$A156)^1+C40/(1+$A156)^2+D40/(1+$A156)^3+E40/(1+$A156)^4+F40/(1+$A156)^5+(F40*(1+C$148)/($A156-C$148))/(1+$A156)^5-B56-B57+B58)/B60,"-")</f>
        <v/>
      </c>
      <c r="D156" s="350">
        <f>IFERROR((B40/(1+$A156)^1+C40/(1+$A156)^2+D40/(1+$A156)^3+E40/(1+$A156)^4+F40/(1+$A156)^5+(F40*(1+D$148)/($A156-D$148))/(1+$A156)^5-B56-B57+B58)/B60,"-")</f>
        <v/>
      </c>
      <c r="E156" s="350">
        <f>IFERROR((B40/(1+$A156)^1+C40/(1+$A156)^2+D40/(1+$A156)^3+E40/(1+$A156)^4+F40/(1+$A156)^5+(F40*(1+E$148)/($A156-E$148))/(1+$A156)^5-B56-B57+B58)/B60,"-")</f>
        <v/>
      </c>
      <c r="F156" s="350">
        <f>IFERROR((B40/(1+$A156)^1+C40/(1+$A156)^2+D40/(1+$A156)^3+E40/(1+$A156)^4+F40/(1+$A156)^5+(F40*(1+F$148)/($A156-F$148))/(1+$A156)^5-B56-B57+B58)/B60,"-")</f>
        <v/>
      </c>
      <c r="G156" s="350">
        <f>IFERROR((B40/(1+$A156)^1+C40/(1+$A156)^2+D40/(1+$A156)^3+E40/(1+$A156)^4+F40/(1+$A156)^5+(F40*(1+G$148)/($A156-G$148))/(1+$A156)^5-B56-B57+B58)/B60,"-")</f>
        <v/>
      </c>
      <c r="H156" s="350">
        <f>IFERROR((B40/(1+$A156)^1+C40/(1+$A156)^2+D40/(1+$A156)^3+E40/(1+$A156)^4+F40/(1+$A156)^5+(F40*(1+H$148)/($A156-H$148))/(1+$A156)^5-B56-B57+B58)/B60,"-")</f>
        <v/>
      </c>
      <c r="I156" s="315" t="n"/>
      <c r="J156" s="315" t="n"/>
      <c r="K156" s="261" t="n"/>
    </row>
    <row r="157" ht="15" customHeight="1" s="74">
      <c r="A157" s="363">
        <f>IFERROR($B$15+0.02,"-")</f>
        <v/>
      </c>
      <c r="B157" s="351">
        <f>IFERROR((B40/(1+$A157)^1+C40/(1+$A157)^2+D40/(1+$A157)^3+E40/(1+$A157)^4+F40/(1+$A157)^5+(F40*(1+B$148)/($A157-B$148))/(1+$A157)^5-B56-B57+B58)/B60,"-")</f>
        <v/>
      </c>
      <c r="C157" s="351">
        <f>IFERROR((B40/(1+$A157)^1+C40/(1+$A157)^2+D40/(1+$A157)^3+E40/(1+$A157)^4+F40/(1+$A157)^5+(F40*(1+C$148)/($A157-C$148))/(1+$A157)^5-B56-B57+B58)/B60,"-")</f>
        <v/>
      </c>
      <c r="D157" s="351">
        <f>IFERROR((B40/(1+$A157)^1+C40/(1+$A157)^2+D40/(1+$A157)^3+E40/(1+$A157)^4+F40/(1+$A157)^5+(F40*(1+D$148)/($A157-D$148))/(1+$A157)^5-B56-B57+B58)/B60,"-")</f>
        <v/>
      </c>
      <c r="E157" s="351">
        <f>IFERROR((B40/(1+$A157)^1+C40/(1+$A157)^2+D40/(1+$A157)^3+E40/(1+$A157)^4+F40/(1+$A157)^5+(F40*(1+E$148)/($A157-E$148))/(1+$A157)^5-B56-B57+B58)/B60,"-")</f>
        <v/>
      </c>
      <c r="F157" s="351">
        <f>IFERROR((B40/(1+$A157)^1+C40/(1+$A157)^2+D40/(1+$A157)^3+E40/(1+$A157)^4+F40/(1+$A157)^5+(F40*(1+F$148)/($A157-F$148))/(1+$A157)^5-B56-B57+B58)/B60,"-")</f>
        <v/>
      </c>
      <c r="G157" s="351">
        <f>IFERROR((B40/(1+$A157)^1+C40/(1+$A157)^2+D40/(1+$A157)^3+E40/(1+$A157)^4+F40/(1+$A157)^5+(F40*(1+G$148)/($A157-G$148))/(1+$A157)^5-B56-B57+B58)/B60,"-")</f>
        <v/>
      </c>
      <c r="H157" s="351">
        <f>IFERROR((B40/(1+$A157)^1+C40/(1+$A157)^2+D40/(1+$A157)^3+E40/(1+$A157)^4+F40/(1+$A157)^5+(F40*(1+H$148)/($A157-H$148))/(1+$A157)^5-B56-B57+B58)/B60,"-")</f>
        <v/>
      </c>
      <c r="I157" s="272" t="n"/>
      <c r="J157" s="272" t="n"/>
      <c r="K157" s="261" t="n"/>
    </row>
    <row r="158" ht="15" customHeight="1" s="74">
      <c r="A158" s="10" t="n"/>
      <c r="B158" s="10" t="n"/>
      <c r="C158" s="10" t="n"/>
      <c r="D158" s="10" t="n"/>
      <c r="E158" s="10" t="n"/>
      <c r="F158" s="10" t="n"/>
      <c r="G158" s="10" t="n"/>
      <c r="H158" s="10" t="n"/>
      <c r="I158" s="10" t="n"/>
      <c r="J158" s="10" t="n"/>
    </row>
    <row r="159" ht="19" customHeight="1" s="74">
      <c r="A159" s="226" t="inlineStr">
        <is>
          <t>7b. SENSITIVITY: WACC × EXIT MULTIPLE → DCF FV/SHARE</t>
        </is>
      </c>
    </row>
    <row r="160" ht="15" customHeight="1" s="74">
      <c r="A160" s="361" t="inlineStr">
        <is>
          <t>| WACC \\ Exit EV/EBITDA | 12.0x | 13.0x | 14.0x | 15.0x | 16.0x |
|---|---|---|---|---|---|
| 9.9% | 202.7 | 218.2 | 233.6 | 249.1 | 264.6 |
| 10.4% | 198.3 | 213.4 | 228.5 | 243.6 | 258.8 |
| **10.9%** | 194.0 | 208.8 | **223.5** | 238.3 | 253.1 |
| 11.4% | 189.8 | 204.2 | 218.7 | 233.2 | 247.6 |
| 11.9% | 185.7 | 199.9 | 214.0 | 228.1 | 242.3 |</t>
        </is>
      </c>
      <c r="B160" s="367">
        <f>IFERROR($B$27-6,"-")</f>
        <v/>
      </c>
      <c r="C160" s="367">
        <f>IFERROR($B$27-4,"-")</f>
        <v/>
      </c>
      <c r="D160" s="367">
        <f>IFERROR($B$27-2,"-")</f>
        <v/>
      </c>
      <c r="E160" s="367">
        <f>IFERROR($B$27,"-")</f>
        <v/>
      </c>
      <c r="F160" s="367">
        <f>IFERROR($B$27+2,"-")</f>
        <v/>
      </c>
      <c r="G160" s="367">
        <f>IFERROR($B$27+4,"-")</f>
        <v/>
      </c>
      <c r="H160" s="367">
        <f>IFERROR($B$27+6,"-")</f>
        <v/>
      </c>
      <c r="I160" s="315" t="n"/>
      <c r="J160" s="315" t="n"/>
      <c r="K160" s="261" t="n"/>
      <c r="M160" s="308" t="inlineStr">
        <is>
          <t xml:space="preserve">market-researcher | valuation-agent | as-of: </t>
        </is>
      </c>
    </row>
    <row r="161" ht="15" customHeight="1" s="74">
      <c r="A161" s="363">
        <f>IFERROR($B$15-0.02,"-")</f>
        <v/>
      </c>
      <c r="B161" s="351">
        <f>IFERROR((B40/(1+$A161)^1+C40/(1+$A161)^2+D40/(1+$A161)^3+E40/(1+$A161)^4+F40/(1+$A161)^5+F32*B$160/(1+$A161)^5-B56-B57+B58)/B60,"-")</f>
        <v/>
      </c>
      <c r="C161" s="351">
        <f>IFERROR((B40/(1+$A161)^1+C40/(1+$A161)^2+D40/(1+$A161)^3+E40/(1+$A161)^4+F40/(1+$A161)^5+F32*C$160/(1+$A161)^5-B56-B57+B58)/B60,"-")</f>
        <v/>
      </c>
      <c r="D161" s="351">
        <f>IFERROR((B40/(1+$A161)^1+C40/(1+$A161)^2+D40/(1+$A161)^3+E40/(1+$A161)^4+F40/(1+$A161)^5+F32*D$160/(1+$A161)^5-B56-B57+B58)/B60,"-")</f>
        <v/>
      </c>
      <c r="E161" s="351">
        <f>IFERROR((B40/(1+$A161)^1+C40/(1+$A161)^2+D40/(1+$A161)^3+E40/(1+$A161)^4+F40/(1+$A161)^5+F32*E$160/(1+$A161)^5-B56-B57+B58)/B60,"-")</f>
        <v/>
      </c>
      <c r="F161" s="351">
        <f>IFERROR((B40/(1+$A161)^1+C40/(1+$A161)^2+D40/(1+$A161)^3+E40/(1+$A161)^4+F40/(1+$A161)^5+F32*F$160/(1+$A161)^5-B56-B57+B58)/B60,"-")</f>
        <v/>
      </c>
      <c r="G161" s="351">
        <f>IFERROR((B40/(1+$A161)^1+C40/(1+$A161)^2+D40/(1+$A161)^3+E40/(1+$A161)^4+F40/(1+$A161)^5+F32*G$160/(1+$A161)^5-B56-B57+B58)/B60,"-")</f>
        <v/>
      </c>
      <c r="H161" s="351">
        <f>IFERROR((B40/(1+$A161)^1+C40/(1+$A161)^2+D40/(1+$A161)^3+E40/(1+$A161)^4+F40/(1+$A161)^5+F32*H$160/(1+$A161)^5-B56-B57+B58)/B60,"-")</f>
        <v/>
      </c>
      <c r="I161" s="272" t="n"/>
      <c r="J161" s="272" t="n"/>
      <c r="K161" s="261" t="n"/>
    </row>
    <row r="162" ht="15" customHeight="1" s="74">
      <c r="A162" s="364">
        <f>IFERROR($B$15-0.015,"-")</f>
        <v/>
      </c>
      <c r="B162" s="350">
        <f>IFERROR((B40/(1+$A162)^1+C40/(1+$A162)^2+D40/(1+$A162)^3+E40/(1+$A162)^4+F40/(1+$A162)^5+F32*B$160/(1+$A162)^5-B56-B57+B58)/B60,"-")</f>
        <v/>
      </c>
      <c r="C162" s="350">
        <f>IFERROR((B40/(1+$A162)^1+C40/(1+$A162)^2+D40/(1+$A162)^3+E40/(1+$A162)^4+F40/(1+$A162)^5+F32*C$160/(1+$A162)^5-B56-B57+B58)/B60,"-")</f>
        <v/>
      </c>
      <c r="D162" s="350">
        <f>IFERROR((B40/(1+$A162)^1+C40/(1+$A162)^2+D40/(1+$A162)^3+E40/(1+$A162)^4+F40/(1+$A162)^5+F32*D$160/(1+$A162)^5-B56-B57+B58)/B60,"-")</f>
        <v/>
      </c>
      <c r="E162" s="350">
        <f>IFERROR((B40/(1+$A162)^1+C40/(1+$A162)^2+D40/(1+$A162)^3+E40/(1+$A162)^4+F40/(1+$A162)^5+F32*E$160/(1+$A162)^5-B56-B57+B58)/B60,"-")</f>
        <v/>
      </c>
      <c r="F162" s="350">
        <f>IFERROR((B40/(1+$A162)^1+C40/(1+$A162)^2+D40/(1+$A162)^3+E40/(1+$A162)^4+F40/(1+$A162)^5+F32*F$160/(1+$A162)^5-B56-B57+B58)/B60,"-")</f>
        <v/>
      </c>
      <c r="G162" s="350">
        <f>IFERROR((B40/(1+$A162)^1+C40/(1+$A162)^2+D40/(1+$A162)^3+E40/(1+$A162)^4+F40/(1+$A162)^5+F32*G$160/(1+$A162)^5-B56-B57+B58)/B60,"-")</f>
        <v/>
      </c>
      <c r="H162" s="350">
        <f>IFERROR((B40/(1+$A162)^1+C40/(1+$A162)^2+D40/(1+$A162)^3+E40/(1+$A162)^4+F40/(1+$A162)^5+F32*H$160/(1+$A162)^5-B56-B57+B58)/B60,"-")</f>
        <v/>
      </c>
      <c r="I162" s="315" t="n"/>
      <c r="J162" s="315" t="n"/>
      <c r="K162" s="261" t="n"/>
    </row>
    <row r="163" ht="15" customHeight="1" s="74">
      <c r="A163" s="363">
        <f>IFERROR($B$15-0.01,"-")</f>
        <v/>
      </c>
      <c r="B163" s="351">
        <f>IFERROR((B40/(1+$A163)^1+C40/(1+$A163)^2+D40/(1+$A163)^3+E40/(1+$A163)^4+F40/(1+$A163)^5+F32*B$160/(1+$A163)^5-B56-B57+B58)/B60,"-")</f>
        <v/>
      </c>
      <c r="C163" s="351">
        <f>IFERROR((B40/(1+$A163)^1+C40/(1+$A163)^2+D40/(1+$A163)^3+E40/(1+$A163)^4+F40/(1+$A163)^5+F32*C$160/(1+$A163)^5-B56-B57+B58)/B60,"-")</f>
        <v/>
      </c>
      <c r="D163" s="351">
        <f>IFERROR((B40/(1+$A163)^1+C40/(1+$A163)^2+D40/(1+$A163)^3+E40/(1+$A163)^4+F40/(1+$A163)^5+F32*D$160/(1+$A163)^5-B56-B57+B58)/B60,"-")</f>
        <v/>
      </c>
      <c r="E163" s="351">
        <f>IFERROR((B40/(1+$A163)^1+C40/(1+$A163)^2+D40/(1+$A163)^3+E40/(1+$A163)^4+F40/(1+$A163)^5+F32*E$160/(1+$A163)^5-B56-B57+B58)/B60,"-")</f>
        <v/>
      </c>
      <c r="F163" s="351">
        <f>IFERROR((B40/(1+$A163)^1+C40/(1+$A163)^2+D40/(1+$A163)^3+E40/(1+$A163)^4+F40/(1+$A163)^5+F32*F$160/(1+$A163)^5-B56-B57+B58)/B60,"-")</f>
        <v/>
      </c>
      <c r="G163" s="351">
        <f>IFERROR((B40/(1+$A163)^1+C40/(1+$A163)^2+D40/(1+$A163)^3+E40/(1+$A163)^4+F40/(1+$A163)^5+F32*G$160/(1+$A163)^5-B56-B57+B58)/B60,"-")</f>
        <v/>
      </c>
      <c r="H163" s="351">
        <f>IFERROR((B40/(1+$A163)^1+C40/(1+$A163)^2+D40/(1+$A163)^3+E40/(1+$A163)^4+F40/(1+$A163)^5+F32*H$160/(1+$A163)^5-B56-B57+B58)/B60,"-")</f>
        <v/>
      </c>
      <c r="I163" s="272" t="n"/>
      <c r="J163" s="272" t="n"/>
      <c r="K163" s="261" t="n"/>
    </row>
    <row r="164" ht="15" customHeight="1" s="74">
      <c r="A164" s="364">
        <f>IFERROR($B$15-0.005,"-")</f>
        <v/>
      </c>
      <c r="B164" s="350">
        <f>IFERROR((B40/(1+$A164)^1+C40/(1+$A164)^2+D40/(1+$A164)^3+E40/(1+$A164)^4+F40/(1+$A164)^5+F32*B$160/(1+$A164)^5-B56-B57+B58)/B60,"-")</f>
        <v/>
      </c>
      <c r="C164" s="350">
        <f>IFERROR((B40/(1+$A164)^1+C40/(1+$A164)^2+D40/(1+$A164)^3+E40/(1+$A164)^4+F40/(1+$A164)^5+F32*C$160/(1+$A164)^5-B56-B57+B58)/B60,"-")</f>
        <v/>
      </c>
      <c r="D164" s="350">
        <f>IFERROR((B40/(1+$A164)^1+C40/(1+$A164)^2+D40/(1+$A164)^3+E40/(1+$A164)^4+F40/(1+$A164)^5+F32*D$160/(1+$A164)^5-B56-B57+B58)/B60,"-")</f>
        <v/>
      </c>
      <c r="E164" s="350">
        <f>IFERROR((B40/(1+$A164)^1+C40/(1+$A164)^2+D40/(1+$A164)^3+E40/(1+$A164)^4+F40/(1+$A164)^5+F32*E$160/(1+$A164)^5-B56-B57+B58)/B60,"-")</f>
        <v/>
      </c>
      <c r="F164" s="350">
        <f>IFERROR((B40/(1+$A164)^1+C40/(1+$A164)^2+D40/(1+$A164)^3+E40/(1+$A164)^4+F40/(1+$A164)^5+F32*F$160/(1+$A164)^5-B56-B57+B58)/B60,"-")</f>
        <v/>
      </c>
      <c r="G164" s="350">
        <f>IFERROR((B40/(1+$A164)^1+C40/(1+$A164)^2+D40/(1+$A164)^3+E40/(1+$A164)^4+F40/(1+$A164)^5+F32*G$160/(1+$A164)^5-B56-B57+B58)/B60,"-")</f>
        <v/>
      </c>
      <c r="H164" s="350">
        <f>IFERROR((B40/(1+$A164)^1+C40/(1+$A164)^2+D40/(1+$A164)^3+E40/(1+$A164)^4+F40/(1+$A164)^5+F32*H$160/(1+$A164)^5-B56-B57+B58)/B60,"-")</f>
        <v/>
      </c>
      <c r="I164" s="315" t="n"/>
      <c r="J164" s="315" t="n"/>
      <c r="K164" s="261" t="n"/>
    </row>
    <row r="165" ht="15" customHeight="1" s="74">
      <c r="A165" s="365">
        <f>IFERROR($B$15,"-")</f>
        <v/>
      </c>
      <c r="B165" s="351">
        <f>IFERROR((B40/(1+$A165)^1+C40/(1+$A165)^2+D40/(1+$A165)^3+E40/(1+$A165)^4+F40/(1+$A165)^5+F32*B$160/(1+$A165)^5-B56-B57+B58)/B60,"-")</f>
        <v/>
      </c>
      <c r="C165" s="351">
        <f>IFERROR((B40/(1+$A165)^1+C40/(1+$A165)^2+D40/(1+$A165)^3+E40/(1+$A165)^4+F40/(1+$A165)^5+F32*C$160/(1+$A165)^5-B56-B57+B58)/B60,"-")</f>
        <v/>
      </c>
      <c r="D165" s="351">
        <f>IFERROR((B40/(1+$A165)^1+C40/(1+$A165)^2+D40/(1+$A165)^3+E40/(1+$A165)^4+F40/(1+$A165)^5+F32*D$160/(1+$A165)^5-B56-B57+B58)/B60,"-")</f>
        <v/>
      </c>
      <c r="E165" s="366">
        <f>IFERROR((B40/(1+$A165)^1+C40/(1+$A165)^2+D40/(1+$A165)^3+E40/(1+$A165)^4+F40/(1+$A165)^5+F32*E$160/(1+$A165)^5-B56-B57+B58)/B60,"-")</f>
        <v/>
      </c>
      <c r="F165" s="351">
        <f>IFERROR((B40/(1+$A165)^1+C40/(1+$A165)^2+D40/(1+$A165)^3+E40/(1+$A165)^4+F40/(1+$A165)^5+F32*F$160/(1+$A165)^5-B56-B57+B58)/B60,"-")</f>
        <v/>
      </c>
      <c r="G165" s="351">
        <f>IFERROR((B40/(1+$A165)^1+C40/(1+$A165)^2+D40/(1+$A165)^3+E40/(1+$A165)^4+F40/(1+$A165)^5+F32*G$160/(1+$A165)^5-B56-B57+B58)/B60,"-")</f>
        <v/>
      </c>
      <c r="H165" s="351">
        <f>IFERROR((B40/(1+$A165)^1+C40/(1+$A165)^2+D40/(1+$A165)^3+E40/(1+$A165)^4+F40/(1+$A165)^5+F32*H$160/(1+$A165)^5-B56-B57+B58)/B60,"-")</f>
        <v/>
      </c>
      <c r="I165" s="272" t="n"/>
      <c r="J165" s="272" t="n"/>
      <c r="K165" s="261" t="n"/>
    </row>
    <row r="166" ht="15" customHeight="1" s="74">
      <c r="A166" s="364">
        <f>IFERROR($B$15+0.005,"-")</f>
        <v/>
      </c>
      <c r="B166" s="350">
        <f>IFERROR((B40/(1+$A166)^1+C40/(1+$A166)^2+D40/(1+$A166)^3+E40/(1+$A166)^4+F40/(1+$A166)^5+F32*B$160/(1+$A166)^5-B56-B57+B58)/B60,"-")</f>
        <v/>
      </c>
      <c r="C166" s="350">
        <f>IFERROR((B40/(1+$A166)^1+C40/(1+$A166)^2+D40/(1+$A166)^3+E40/(1+$A166)^4+F40/(1+$A166)^5+F32*C$160/(1+$A166)^5-B56-B57+B58)/B60,"-")</f>
        <v/>
      </c>
      <c r="D166" s="350">
        <f>IFERROR((B40/(1+$A166)^1+C40/(1+$A166)^2+D40/(1+$A166)^3+E40/(1+$A166)^4+F40/(1+$A166)^5+F32*D$160/(1+$A166)^5-B56-B57+B58)/B60,"-")</f>
        <v/>
      </c>
      <c r="E166" s="350">
        <f>IFERROR((B40/(1+$A166)^1+C40/(1+$A166)^2+D40/(1+$A166)^3+E40/(1+$A166)^4+F40/(1+$A166)^5+F32*E$160/(1+$A166)^5-B56-B57+B58)/B60,"-")</f>
        <v/>
      </c>
      <c r="F166" s="350">
        <f>IFERROR((B40/(1+$A166)^1+C40/(1+$A166)^2+D40/(1+$A166)^3+E40/(1+$A166)^4+F40/(1+$A166)^5+F32*F$160/(1+$A166)^5-B56-B57+B58)/B60,"-")</f>
        <v/>
      </c>
      <c r="G166" s="350">
        <f>IFERROR((B40/(1+$A166)^1+C40/(1+$A166)^2+D40/(1+$A166)^3+E40/(1+$A166)^4+F40/(1+$A166)^5+F32*G$160/(1+$A166)^5-B56-B57+B58)/B60,"-")</f>
        <v/>
      </c>
      <c r="H166" s="350">
        <f>IFERROR((B40/(1+$A166)^1+C40/(1+$A166)^2+D40/(1+$A166)^3+E40/(1+$A166)^4+F40/(1+$A166)^5+F32*H$160/(1+$A166)^5-B56-B57+B58)/B60,"-")</f>
        <v/>
      </c>
      <c r="I166" s="315" t="n"/>
      <c r="J166" s="315" t="n"/>
      <c r="K166" s="261" t="n"/>
    </row>
    <row r="167" ht="15" customHeight="1" s="74">
      <c r="A167" s="363">
        <f>IFERROR($B$15+0.01,"-")</f>
        <v/>
      </c>
      <c r="B167" s="351">
        <f>IFERROR((B40/(1+$A167)^1+C40/(1+$A167)^2+D40/(1+$A167)^3+E40/(1+$A167)^4+F40/(1+$A167)^5+F32*B$160/(1+$A167)^5-B56-B57+B58)/B60,"-")</f>
        <v/>
      </c>
      <c r="C167" s="351">
        <f>IFERROR((B40/(1+$A167)^1+C40/(1+$A167)^2+D40/(1+$A167)^3+E40/(1+$A167)^4+F40/(1+$A167)^5+F32*C$160/(1+$A167)^5-B56-B57+B58)/B60,"-")</f>
        <v/>
      </c>
      <c r="D167" s="351">
        <f>IFERROR((B40/(1+$A167)^1+C40/(1+$A167)^2+D40/(1+$A167)^3+E40/(1+$A167)^4+F40/(1+$A167)^5+F32*D$160/(1+$A167)^5-B56-B57+B58)/B60,"-")</f>
        <v/>
      </c>
      <c r="E167" s="351">
        <f>IFERROR((B40/(1+$A167)^1+C40/(1+$A167)^2+D40/(1+$A167)^3+E40/(1+$A167)^4+F40/(1+$A167)^5+F32*E$160/(1+$A167)^5-B56-B57+B58)/B60,"-")</f>
        <v/>
      </c>
      <c r="F167" s="351">
        <f>IFERROR((B40/(1+$A167)^1+C40/(1+$A167)^2+D40/(1+$A167)^3+E40/(1+$A167)^4+F40/(1+$A167)^5+F32*F$160/(1+$A167)^5-B56-B57+B58)/B60,"-")</f>
        <v/>
      </c>
      <c r="G167" s="351">
        <f>IFERROR((B40/(1+$A167)^1+C40/(1+$A167)^2+D40/(1+$A167)^3+E40/(1+$A167)^4+F40/(1+$A167)^5+F32*G$160/(1+$A167)^5-B56-B57+B58)/B60,"-")</f>
        <v/>
      </c>
      <c r="H167" s="351">
        <f>IFERROR((B40/(1+$A167)^1+C40/(1+$A167)^2+D40/(1+$A167)^3+E40/(1+$A167)^4+F40/(1+$A167)^5+F32*H$160/(1+$A167)^5-B56-B57+B58)/B60,"-")</f>
        <v/>
      </c>
      <c r="I167" s="272" t="n"/>
      <c r="J167" s="272" t="n"/>
      <c r="K167" s="261" t="n"/>
    </row>
    <row r="168" ht="15" customHeight="1" s="74">
      <c r="A168" s="364">
        <f>IFERROR($B$15+0.015,"-")</f>
        <v/>
      </c>
      <c r="B168" s="350">
        <f>IFERROR((B40/(1+$A168)^1+C40/(1+$A168)^2+D40/(1+$A168)^3+E40/(1+$A168)^4+F40/(1+$A168)^5+F32*B$160/(1+$A168)^5-B56-B57+B58)/B60,"-")</f>
        <v/>
      </c>
      <c r="C168" s="350">
        <f>IFERROR((B40/(1+$A168)^1+C40/(1+$A168)^2+D40/(1+$A168)^3+E40/(1+$A168)^4+F40/(1+$A168)^5+F32*C$160/(1+$A168)^5-B56-B57+B58)/B60,"-")</f>
        <v/>
      </c>
      <c r="D168" s="350">
        <f>IFERROR((B40/(1+$A168)^1+C40/(1+$A168)^2+D40/(1+$A168)^3+E40/(1+$A168)^4+F40/(1+$A168)^5+F32*D$160/(1+$A168)^5-B56-B57+B58)/B60,"-")</f>
        <v/>
      </c>
      <c r="E168" s="350">
        <f>IFERROR((B40/(1+$A168)^1+C40/(1+$A168)^2+D40/(1+$A168)^3+E40/(1+$A168)^4+F40/(1+$A168)^5+F32*E$160/(1+$A168)^5-B56-B57+B58)/B60,"-")</f>
        <v/>
      </c>
      <c r="F168" s="350">
        <f>IFERROR((B40/(1+$A168)^1+C40/(1+$A168)^2+D40/(1+$A168)^3+E40/(1+$A168)^4+F40/(1+$A168)^5+F32*F$160/(1+$A168)^5-B56-B57+B58)/B60,"-")</f>
        <v/>
      </c>
      <c r="G168" s="350">
        <f>IFERROR((B40/(1+$A168)^1+C40/(1+$A168)^2+D40/(1+$A168)^3+E40/(1+$A168)^4+F40/(1+$A168)^5+F32*G$160/(1+$A168)^5-B56-B57+B58)/B60,"-")</f>
        <v/>
      </c>
      <c r="H168" s="350">
        <f>IFERROR((B40/(1+$A168)^1+C40/(1+$A168)^2+D40/(1+$A168)^3+E40/(1+$A168)^4+F40/(1+$A168)^5+F32*H$160/(1+$A168)^5-B56-B57+B58)/B60,"-")</f>
        <v/>
      </c>
      <c r="I168" s="315" t="n"/>
      <c r="J168" s="315" t="n"/>
      <c r="K168" s="261" t="n"/>
    </row>
    <row r="169" ht="15" customHeight="1" s="74">
      <c r="A169" s="363">
        <f>IFERROR($B$15+0.02,"-")</f>
        <v/>
      </c>
      <c r="B169" s="351">
        <f>IFERROR((B40/(1+$A169)^1+C40/(1+$A169)^2+D40/(1+$A169)^3+E40/(1+$A169)^4+F40/(1+$A169)^5+F32*B$160/(1+$A169)^5-B56-B57+B58)/B60,"-")</f>
        <v/>
      </c>
      <c r="C169" s="351">
        <f>IFERROR((B40/(1+$A169)^1+C40/(1+$A169)^2+D40/(1+$A169)^3+E40/(1+$A169)^4+F40/(1+$A169)^5+F32*C$160/(1+$A169)^5-B56-B57+B58)/B60,"-")</f>
        <v/>
      </c>
      <c r="D169" s="351">
        <f>IFERROR((B40/(1+$A169)^1+C40/(1+$A169)^2+D40/(1+$A169)^3+E40/(1+$A169)^4+F40/(1+$A169)^5+F32*D$160/(1+$A169)^5-B56-B57+B58)/B60,"-")</f>
        <v/>
      </c>
      <c r="E169" s="351">
        <f>IFERROR((B40/(1+$A169)^1+C40/(1+$A169)^2+D40/(1+$A169)^3+E40/(1+$A169)^4+F40/(1+$A169)^5+F32*E$160/(1+$A169)^5-B56-B57+B58)/B60,"-")</f>
        <v/>
      </c>
      <c r="F169" s="351">
        <f>IFERROR((B40/(1+$A169)^1+C40/(1+$A169)^2+D40/(1+$A169)^3+E40/(1+$A169)^4+F40/(1+$A169)^5+F32*F$160/(1+$A169)^5-B56-B57+B58)/B60,"-")</f>
        <v/>
      </c>
      <c r="G169" s="351">
        <f>IFERROR((B40/(1+$A169)^1+C40/(1+$A169)^2+D40/(1+$A169)^3+E40/(1+$A169)^4+F40/(1+$A169)^5+F32*G$160/(1+$A169)^5-B56-B57+B58)/B60,"-")</f>
        <v/>
      </c>
      <c r="H169" s="351">
        <f>IFERROR((B40/(1+$A169)^1+C40/(1+$A169)^2+D40/(1+$A169)^3+E40/(1+$A169)^4+F40/(1+$A169)^5+F32*H$160/(1+$A169)^5-B56-B57+B58)/B60,"-")</f>
        <v/>
      </c>
      <c r="I169" s="272" t="n"/>
      <c r="J169" s="272" t="n"/>
      <c r="K169" s="261" t="n"/>
    </row>
    <row r="170" ht="15" customHeight="1" s="74">
      <c r="A170" s="10" t="n"/>
      <c r="B170" s="10" t="n"/>
      <c r="C170" s="10" t="n"/>
      <c r="D170" s="10" t="n"/>
      <c r="E170" s="10" t="n"/>
      <c r="F170" s="10" t="n"/>
      <c r="G170" s="10" t="n"/>
      <c r="H170" s="10" t="n"/>
      <c r="I170" s="10" t="n"/>
      <c r="J170" s="10" t="n"/>
    </row>
    <row r="171">
      <c r="A171" s="2" t="n"/>
      <c r="B171" s="2" t="n"/>
      <c r="C171" s="2" t="n"/>
      <c r="D171" s="2" t="n"/>
      <c r="E171" s="2" t="n"/>
      <c r="F171" s="2" t="n"/>
      <c r="G171" s="2" t="n"/>
      <c r="H171" s="2" t="n"/>
      <c r="I171" s="2" t="n"/>
      <c r="J171" s="2" t="n"/>
    </row>
    <row r="172" ht="19" customHeight="1" s="74">
      <c r="A172" s="226" t="inlineStr">
        <is>
          <t>8. VERDICT — WITHDRAWN</t>
        </is>
      </c>
    </row>
    <row r="173" ht="15" customHeight="1" s="74">
      <c r="A173" s="313" t="inlineStr">
        <is>
          <t>The rating and price target have been withdrawn while the valuation method is rebuilt. The terminal value carried about 79% of enterprise value and rested on an exit multiple set by hand, so the conclusion largely restated that assumption instead of testing it. The model below is published as working material; its conclusion is not.</t>
        </is>
      </c>
      <c r="B173" s="423" t="n"/>
      <c r="G173" s="272" t="n"/>
      <c r="H173" s="272" t="n"/>
      <c r="I173" s="272" t="n"/>
      <c r="J173" s="272" t="n"/>
      <c r="K173" s="261" t="n"/>
      <c r="M173" s="308" t="inlineStr">
        <is>
          <t xml:space="preserve">market-researcher | valuation-agent | as-of: </t>
        </is>
      </c>
    </row>
    <row r="174" ht="15" customHeight="1" s="74">
      <c r="A174" s="313" t="n"/>
      <c r="B174" s="424" t="n"/>
      <c r="G174" s="315" t="n"/>
      <c r="H174" s="315" t="n"/>
      <c r="I174" s="315" t="n"/>
      <c r="J174" s="315" t="n"/>
      <c r="K174" s="261" t="n"/>
      <c r="M174" s="308" t="inlineStr">
        <is>
          <t xml:space="preserve">market-researcher | valuation-agent | as-of: </t>
        </is>
      </c>
    </row>
    <row r="175" ht="15" customHeight="1" s="74">
      <c r="A175" s="313" t="n"/>
      <c r="B175" s="423" t="n"/>
      <c r="G175" s="272" t="n"/>
      <c r="H175" s="272" t="n"/>
      <c r="I175" s="272" t="n"/>
      <c r="J175" s="272" t="n"/>
      <c r="K175" s="261" t="n"/>
      <c r="M175" s="308" t="inlineStr">
        <is>
          <t xml:space="preserve">market-researcher | valuation-agent | as-of: </t>
        </is>
      </c>
    </row>
    <row r="176" ht="15" customHeight="1" s="74">
      <c r="A176" s="313" t="n"/>
      <c r="B176" s="424" t="n"/>
      <c r="G176" s="315" t="n"/>
      <c r="H176" s="315" t="n"/>
      <c r="I176" s="315" t="n"/>
      <c r="J176" s="315" t="n"/>
      <c r="K176" s="261" t="n"/>
    </row>
    <row r="177" ht="15" customHeight="1" s="74">
      <c r="A177" s="313" t="n"/>
      <c r="B177" s="423" t="n"/>
      <c r="G177" s="272" t="n"/>
      <c r="H177" s="272" t="n"/>
      <c r="I177" s="272" t="n"/>
      <c r="J177" s="272" t="n"/>
      <c r="K177" s="261" t="n"/>
    </row>
    <row r="178" ht="15" customHeight="1" s="74">
      <c r="A178" s="313" t="n"/>
      <c r="B178" s="424" t="n"/>
      <c r="G178" s="315" t="n"/>
      <c r="H178" s="315" t="n"/>
      <c r="I178" s="315" t="n"/>
      <c r="J178" s="315" t="n"/>
      <c r="K178" s="261" t="n"/>
    </row>
    <row r="179">
      <c r="A179" s="2" t="n"/>
      <c r="B179" s="2" t="n"/>
      <c r="C179" s="2" t="n"/>
      <c r="D179" s="2" t="n"/>
      <c r="E179" s="2" t="n"/>
      <c r="F179" s="2" t="n"/>
      <c r="G179" s="2" t="n"/>
      <c r="H179" s="2" t="n"/>
      <c r="I179" s="2" t="n"/>
      <c r="J179" s="2" t="n"/>
    </row>
    <row r="180" ht="15" customHeight="1" s="74">
      <c r="A180" s="324" t="inlineStr">
        <is>
          <t>─ Scenario Multiple Inputs ─</t>
        </is>
      </c>
      <c r="B180" s="324" t="n"/>
      <c r="C180" s="272" t="n"/>
      <c r="D180" s="272" t="n"/>
      <c r="E180" s="272" t="n"/>
      <c r="F180" s="272" t="n"/>
      <c r="G180" s="272" t="n"/>
      <c r="H180" s="272" t="n"/>
      <c r="I180" s="272" t="n"/>
      <c r="J180" s="272" t="n"/>
      <c r="K180" s="261" t="n"/>
    </row>
    <row r="181" ht="15" customHeight="1" s="74">
      <c r="A181" s="324" t="inlineStr">
        <is>
          <t>P/E Multiple (Bear)</t>
        </is>
      </c>
      <c r="B181" s="324">
        <f>IFERROR(C118*0.85,"-")</f>
        <v/>
      </c>
      <c r="C181" s="272" t="n"/>
      <c r="D181" s="272" t="n"/>
      <c r="E181" s="272" t="n"/>
      <c r="F181" s="272" t="n"/>
      <c r="G181" s="272" t="n"/>
      <c r="H181" s="272" t="n"/>
      <c r="I181" s="272" t="n"/>
      <c r="J181" s="272" t="n"/>
      <c r="K181" s="261" t="n"/>
    </row>
    <row r="182" ht="15" customHeight="1" s="74">
      <c r="A182" s="324" t="inlineStr">
        <is>
          <t>P/E Multiple (Bull)</t>
        </is>
      </c>
      <c r="B182" s="324">
        <f>IFERROR(C118*1.15,"-")</f>
        <v/>
      </c>
      <c r="C182" s="272" t="n"/>
      <c r="D182" s="272" t="n"/>
      <c r="E182" s="272" t="n"/>
      <c r="F182" s="272" t="n"/>
      <c r="G182" s="272" t="n"/>
      <c r="H182" s="272" t="n"/>
      <c r="I182" s="272" t="n"/>
      <c r="J182" s="272" t="n"/>
      <c r="K182" s="261" t="n"/>
    </row>
    <row r="183" ht="15" customHeight="1" s="74">
      <c r="A183" s="324" t="inlineStr">
        <is>
          <t>EV/EBITDA Multiple (Bear)</t>
        </is>
      </c>
      <c r="B183" s="324">
        <f>IFERROR(C119*0.85,"-")</f>
        <v/>
      </c>
      <c r="C183" s="272" t="n"/>
      <c r="D183" s="272" t="n"/>
      <c r="E183" s="272" t="n"/>
      <c r="F183" s="272" t="n"/>
      <c r="G183" s="272" t="n"/>
      <c r="H183" s="272" t="n"/>
      <c r="I183" s="272" t="n"/>
      <c r="J183" s="272" t="n"/>
      <c r="K183" s="261" t="n"/>
    </row>
    <row r="184" ht="15" customHeight="1" s="74">
      <c r="A184" s="324" t="inlineStr">
        <is>
          <t>EV/EBITDA Multiple (Bull)</t>
        </is>
      </c>
      <c r="B184" s="324">
        <f>IFERROR(C119*1.15,"-")</f>
        <v/>
      </c>
      <c r="C184" s="272" t="n"/>
      <c r="D184" s="272" t="n"/>
      <c r="E184" s="272" t="n"/>
      <c r="F184" s="272" t="n"/>
      <c r="G184" s="272" t="n"/>
      <c r="H184" s="272" t="n"/>
      <c r="I184" s="272" t="n"/>
      <c r="J184" s="272" t="n"/>
      <c r="K184" s="261" t="n"/>
    </row>
    <row r="185" ht="15" customHeight="1" s="74">
      <c r="A185" s="324" t="inlineStr">
        <is>
          <t>FCF Yield (Bear)</t>
        </is>
      </c>
      <c r="B185" s="324">
        <f>IFERROR(C122*1.15,"-")</f>
        <v/>
      </c>
      <c r="C185" s="272" t="n"/>
      <c r="D185" s="272" t="n"/>
      <c r="E185" s="272" t="n"/>
      <c r="F185" s="272" t="n"/>
      <c r="G185" s="272" t="n"/>
      <c r="H185" s="272" t="n"/>
      <c r="I185" s="272" t="n"/>
      <c r="J185" s="272" t="n"/>
      <c r="K185" s="261" t="n"/>
    </row>
    <row r="186" ht="15" customHeight="1" s="74">
      <c r="A186" s="324" t="inlineStr">
        <is>
          <t>FCF Yield (Bull)</t>
        </is>
      </c>
      <c r="B186" s="324">
        <f>IFERROR(C122*0.85,"-")</f>
        <v/>
      </c>
      <c r="C186" s="272" t="n"/>
      <c r="D186" s="272" t="n"/>
      <c r="E186" s="272" t="n"/>
      <c r="F186" s="272" t="n"/>
      <c r="G186" s="272" t="n"/>
      <c r="H186" s="272" t="n"/>
      <c r="I186" s="272" t="n"/>
      <c r="J186" s="272" t="n"/>
      <c r="K186" s="261" t="n"/>
    </row>
  </sheetData>
  <mergeCells count="9">
    <mergeCell ref="A147:H147"/>
    <mergeCell ref="A17:G17"/>
    <mergeCell ref="A3:F3"/>
    <mergeCell ref="A116:E116"/>
    <mergeCell ref="A133:E133"/>
    <mergeCell ref="A64:G64"/>
    <mergeCell ref="A124:F124"/>
    <mergeCell ref="A90:G90"/>
    <mergeCell ref="A159:H159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tabColor rgb="FF4A4A4A"/>
    <outlinePr summaryBelow="1" summaryRight="1"/>
    <pageSetUpPr/>
  </sheetPr>
  <dimension ref="A1:Y201"/>
  <sheetViews>
    <sheetView showGridLines="1" tabSelected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4" customWidth="1" style="74" min="1" max="1"/>
    <col width="12" customWidth="1" style="74" min="2" max="2"/>
    <col width="12" customWidth="1" style="74" min="3" max="3"/>
    <col width="12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12" customWidth="1" style="74" min="13" max="13"/>
    <col width="13" customWidth="1" style="74" min="14" max="14"/>
    <col width="13" customWidth="1" style="74" min="15" max="15"/>
    <col width="13" customWidth="1" style="74" min="16" max="16"/>
    <col width="13" customWidth="1" style="74" min="17" max="17"/>
    <col width="13" customWidth="1" style="74" min="18" max="18"/>
    <col width="13" customWidth="1" style="74" min="19" max="19"/>
    <col width="13" customWidth="1" style="74" min="20" max="20"/>
    <col width="13" customWidth="1" style="74" min="21" max="21"/>
    <col width="13" customWidth="1" style="74" min="22" max="22"/>
    <col width="13" customWidth="1" style="74" min="23" max="23"/>
    <col width="13" customWidth="1" style="74" min="24" max="24"/>
    <col width="13" customWidth="1" style="74" min="25" max="25"/>
  </cols>
  <sheetData>
    <row r="1" ht="57.75" customHeight="1" s="74">
      <c r="A1" s="1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N1" s="2" t="n"/>
      <c r="O1" s="2" t="n"/>
      <c r="P1" s="2" t="n"/>
      <c r="Q1" s="2" t="n"/>
      <c r="R1" s="2" t="n"/>
      <c r="S1" s="2" t="n"/>
      <c r="T1" s="2" t="n"/>
      <c r="U1" s="2" t="n"/>
    </row>
    <row r="2" ht="17" customHeight="1" s="74">
      <c r="A2" s="291" t="inlineStr">
        <is>
          <t>Colour key:</t>
        </is>
      </c>
    </row>
    <row r="3" ht="15" customHeight="1" s="74">
      <c r="A3" s="14" t="inlineStr">
        <is>
          <t>Period</t>
        </is>
      </c>
      <c r="B3" s="14">
        <f>Data!B13</f>
        <v/>
      </c>
      <c r="C3" s="14">
        <f>Data!C13</f>
        <v/>
      </c>
      <c r="D3" s="14">
        <f>Data!D13</f>
        <v/>
      </c>
      <c r="E3" s="14">
        <f>Data!E13</f>
        <v/>
      </c>
      <c r="F3" s="14">
        <f>Data!F13</f>
        <v/>
      </c>
      <c r="G3" s="14">
        <f>Data!G13</f>
        <v/>
      </c>
      <c r="H3" s="14">
        <f>Data!H13</f>
        <v/>
      </c>
      <c r="I3" s="14">
        <f>Data!I13</f>
        <v/>
      </c>
      <c r="J3" s="14">
        <f>Data!J13</f>
        <v/>
      </c>
      <c r="K3" s="14">
        <f>Data!K13</f>
        <v/>
      </c>
      <c r="L3" s="14">
        <f>Data!L13</f>
        <v/>
      </c>
      <c r="N3" s="265" t="n"/>
      <c r="O3" s="265" t="n"/>
      <c r="P3" s="265" t="n"/>
      <c r="Q3" s="265" t="n"/>
      <c r="R3" s="265" t="n"/>
      <c r="S3" s="265" t="n"/>
      <c r="T3" s="265" t="n"/>
      <c r="U3" s="265" t="n"/>
      <c r="V3" s="265" t="n"/>
      <c r="W3" s="265" t="n"/>
      <c r="X3" s="265" t="n"/>
      <c r="Y3" s="265" t="n"/>
    </row>
    <row r="4" ht="15" customHeight="1" s="74">
      <c r="A4" s="15" t="inlineStr">
        <is>
          <t>Gross Margin</t>
        </is>
      </c>
      <c r="B4" s="89" t="n"/>
      <c r="C4" s="89">
        <f>IFERROR(IF(OR(NOT(ISNUMBER(Data!C16)),NOT(ISNUMBER(Data!C14))),"-",Data!C16/Data!C14),"-")</f>
        <v/>
      </c>
      <c r="D4" s="89">
        <f>IFERROR(IF(OR(NOT(ISNUMBER(Data!D16)),NOT(ISNUMBER(Data!D14))),"-",Data!D16/Data!D14),"-")</f>
        <v/>
      </c>
      <c r="E4" s="89">
        <f>IFERROR(IF(OR(NOT(ISNUMBER(Data!E16)),NOT(ISNUMBER(Data!E14))),"-",Data!E16/Data!E14),"-")</f>
        <v/>
      </c>
      <c r="F4" s="89">
        <f>IFERROR(IF(OR(NOT(ISNUMBER(Data!F16)),NOT(ISNUMBER(Data!F14))),"-",Data!F16/Data!F14),"-")</f>
        <v/>
      </c>
      <c r="G4" s="89">
        <f>IFERROR(IF(OR(NOT(ISNUMBER(Data!G16)),NOT(ISNUMBER(Data!G14))),"-",Data!G16/Data!G14),"-")</f>
        <v/>
      </c>
      <c r="H4" s="89">
        <f>IFERROR(IF(OR(NOT(ISNUMBER(Data!H16)),NOT(ISNUMBER(Data!H14))),"-",Data!H16/Data!H14),"-")</f>
        <v/>
      </c>
      <c r="I4" s="89">
        <f>IFERROR(IF(OR(NOT(ISNUMBER(Data!I16)),NOT(ISNUMBER(Data!I14))),"-",Data!I16/Data!I14),"-")</f>
        <v/>
      </c>
      <c r="J4" s="89">
        <f>IFERROR(IF(OR(NOT(ISNUMBER(Data!J16)),NOT(ISNUMBER(Data!J14))),"-",Data!J16/Data!J14),"-")</f>
        <v/>
      </c>
      <c r="K4" s="89">
        <f>IFERROR(IF(OR(NOT(ISNUMBER(Data!K16)),NOT(ISNUMBER(Data!K14))),"-",Data!K16/Data!K14),"-")</f>
        <v/>
      </c>
      <c r="L4" s="89">
        <f>IFERROR(IF(OR(NOT(ISNUMBER(Data!L16)),NOT(ISNUMBER(Data!L14))),"-",Data!L16/Data!L14),"-")</f>
        <v/>
      </c>
      <c r="M4" s="261" t="n"/>
      <c r="N4" s="266" t="n"/>
      <c r="O4" s="266" t="n"/>
      <c r="P4" s="266" t="n"/>
      <c r="Q4" s="266" t="n"/>
      <c r="R4" s="266" t="n"/>
      <c r="S4" s="266" t="n"/>
      <c r="T4" s="266" t="n"/>
      <c r="U4" s="266" t="n"/>
      <c r="V4" s="261" t="n"/>
      <c r="W4" s="261" t="n"/>
      <c r="X4" s="261" t="n"/>
      <c r="Y4" s="261" t="n"/>
    </row>
    <row r="5" ht="15" customHeight="1" s="74">
      <c r="A5" s="17" t="inlineStr">
        <is>
          <t>EBITDA Margin</t>
        </is>
      </c>
      <c r="B5" s="90" t="n"/>
      <c r="C5" s="90">
        <f>IFERROR(IF(OR(NOT(ISNUMBER(Data!C20)),NOT(ISNUMBER(Data!C14))),"-",Data!C20/Data!C14),"-")</f>
        <v/>
      </c>
      <c r="D5" s="90">
        <f>IFERROR(IF(OR(NOT(ISNUMBER(Data!D20)),NOT(ISNUMBER(Data!D14))),"-",Data!D20/Data!D14),"-")</f>
        <v/>
      </c>
      <c r="E5" s="90">
        <f>IFERROR(IF(OR(NOT(ISNUMBER(Data!E20)),NOT(ISNUMBER(Data!E14))),"-",Data!E20/Data!E14),"-")</f>
        <v/>
      </c>
      <c r="F5" s="90">
        <f>IFERROR(IF(OR(NOT(ISNUMBER(Data!F20)),NOT(ISNUMBER(Data!F14))),"-",Data!F20/Data!F14),"-")</f>
        <v/>
      </c>
      <c r="G5" s="90">
        <f>IFERROR(IF(OR(NOT(ISNUMBER(Data!G20)),NOT(ISNUMBER(Data!G14))),"-",Data!G20/Data!G14),"-")</f>
        <v/>
      </c>
      <c r="H5" s="90">
        <f>IFERROR(IF(OR(NOT(ISNUMBER(Data!H20)),NOT(ISNUMBER(Data!H14))),"-",Data!H20/Data!H14),"-")</f>
        <v/>
      </c>
      <c r="I5" s="90">
        <f>IFERROR(IF(OR(NOT(ISNUMBER(Data!I20)),NOT(ISNUMBER(Data!I14))),"-",Data!I20/Data!I14),"-")</f>
        <v/>
      </c>
      <c r="J5" s="90">
        <f>IFERROR(IF(OR(NOT(ISNUMBER(Data!J20)),NOT(ISNUMBER(Data!J14))),"-",Data!J20/Data!J14),"-")</f>
        <v/>
      </c>
      <c r="K5" s="90">
        <f>IFERROR(IF(OR(NOT(ISNUMBER(Data!K20)),NOT(ISNUMBER(Data!K14))),"-",Data!K20/Data!K14),"-")</f>
        <v/>
      </c>
      <c r="L5" s="90">
        <f>IFERROR(IF(OR(NOT(ISNUMBER(Data!L20)),NOT(ISNUMBER(Data!L14))),"-",Data!L20/Data!L14),"-")</f>
        <v/>
      </c>
      <c r="M5" s="261" t="n"/>
      <c r="N5" s="266" t="n"/>
      <c r="O5" s="266" t="n"/>
      <c r="P5" s="266" t="n"/>
      <c r="Q5" s="266" t="n"/>
      <c r="R5" s="266" t="n"/>
      <c r="S5" s="266" t="n"/>
      <c r="T5" s="266" t="n"/>
      <c r="U5" s="266" t="n"/>
      <c r="V5" s="261" t="n"/>
      <c r="W5" s="261" t="n"/>
      <c r="X5" s="261" t="n"/>
      <c r="Y5" s="261" t="n"/>
    </row>
    <row r="6" ht="15" customHeight="1" s="74">
      <c r="A6" s="15" t="inlineStr">
        <is>
          <t>Operating Margin</t>
        </is>
      </c>
      <c r="B6" s="89" t="n"/>
      <c r="C6" s="89">
        <f>IFERROR(IF(OR(NOT(ISNUMBER(Data!C22)),NOT(ISNUMBER(Data!C14))),"-",Data!C22/Data!C14),"-")</f>
        <v/>
      </c>
      <c r="D6" s="89">
        <f>IFERROR(IF(OR(NOT(ISNUMBER(Data!D22)),NOT(ISNUMBER(Data!D14))),"-",Data!D22/Data!D14),"-")</f>
        <v/>
      </c>
      <c r="E6" s="89">
        <f>IFERROR(IF(OR(NOT(ISNUMBER(Data!E22)),NOT(ISNUMBER(Data!E14))),"-",Data!E22/Data!E14),"-")</f>
        <v/>
      </c>
      <c r="F6" s="89">
        <f>IFERROR(IF(OR(NOT(ISNUMBER(Data!F22)),NOT(ISNUMBER(Data!F14))),"-",Data!F22/Data!F14),"-")</f>
        <v/>
      </c>
      <c r="G6" s="89">
        <f>IFERROR(IF(OR(NOT(ISNUMBER(Data!G22)),NOT(ISNUMBER(Data!G14))),"-",Data!G22/Data!G14),"-")</f>
        <v/>
      </c>
      <c r="H6" s="89">
        <f>IFERROR(IF(OR(NOT(ISNUMBER(Data!H22)),NOT(ISNUMBER(Data!H14))),"-",Data!H22/Data!H14),"-")</f>
        <v/>
      </c>
      <c r="I6" s="89">
        <f>IFERROR(IF(OR(NOT(ISNUMBER(Data!I22)),NOT(ISNUMBER(Data!I14))),"-",Data!I22/Data!I14),"-")</f>
        <v/>
      </c>
      <c r="J6" s="89">
        <f>IFERROR(IF(OR(NOT(ISNUMBER(Data!J22)),NOT(ISNUMBER(Data!J14))),"-",Data!J22/Data!J14),"-")</f>
        <v/>
      </c>
      <c r="K6" s="89">
        <f>IFERROR(IF(OR(NOT(ISNUMBER(Data!K22)),NOT(ISNUMBER(Data!K14))),"-",Data!K22/Data!K14),"-")</f>
        <v/>
      </c>
      <c r="L6" s="89">
        <f>IFERROR(IF(OR(NOT(ISNUMBER(Data!L22)),NOT(ISNUMBER(Data!L14))),"-",Data!L22/Data!L14),"-")</f>
        <v/>
      </c>
      <c r="M6" s="261" t="n"/>
      <c r="N6" s="266" t="n"/>
      <c r="O6" s="266" t="n"/>
      <c r="P6" s="266" t="n"/>
      <c r="Q6" s="266" t="n"/>
      <c r="R6" s="266" t="n"/>
      <c r="S6" s="266" t="n"/>
      <c r="T6" s="266" t="n"/>
      <c r="U6" s="266" t="n"/>
      <c r="V6" s="261" t="n"/>
      <c r="W6" s="261" t="n"/>
      <c r="X6" s="261" t="n"/>
      <c r="Y6" s="261" t="n"/>
    </row>
    <row r="7" ht="15" customHeight="1" s="74">
      <c r="A7" s="17" t="inlineStr">
        <is>
          <t>Net Margin</t>
        </is>
      </c>
      <c r="B7" s="90" t="n"/>
      <c r="C7" s="90">
        <f>IFERROR(IF(OR(NOT(ISNUMBER(Data!C26)),NOT(ISNUMBER(Data!C14))),"-",Data!C26/Data!C14),"-")</f>
        <v/>
      </c>
      <c r="D7" s="90">
        <f>IFERROR(IF(OR(NOT(ISNUMBER(Data!D26)),NOT(ISNUMBER(Data!D14))),"-",Data!D26/Data!D14),"-")</f>
        <v/>
      </c>
      <c r="E7" s="90">
        <f>IFERROR(IF(OR(NOT(ISNUMBER(Data!E26)),NOT(ISNUMBER(Data!E14))),"-",Data!E26/Data!E14),"-")</f>
        <v/>
      </c>
      <c r="F7" s="90">
        <f>IFERROR(IF(OR(NOT(ISNUMBER(Data!F26)),NOT(ISNUMBER(Data!F14))),"-",Data!F26/Data!F14),"-")</f>
        <v/>
      </c>
      <c r="G7" s="90">
        <f>IFERROR(IF(OR(NOT(ISNUMBER(Data!G26)),NOT(ISNUMBER(Data!G14))),"-",Data!G26/Data!G14),"-")</f>
        <v/>
      </c>
      <c r="H7" s="90">
        <f>IFERROR(IF(OR(NOT(ISNUMBER(Data!H26)),NOT(ISNUMBER(Data!H14))),"-",Data!H26/Data!H14),"-")</f>
        <v/>
      </c>
      <c r="I7" s="90">
        <f>IFERROR(IF(OR(NOT(ISNUMBER(Data!I26)),NOT(ISNUMBER(Data!I14))),"-",Data!I26/Data!I14),"-")</f>
        <v/>
      </c>
      <c r="J7" s="90">
        <f>IFERROR(IF(OR(NOT(ISNUMBER(Data!J26)),NOT(ISNUMBER(Data!J14))),"-",Data!J26/Data!J14),"-")</f>
        <v/>
      </c>
      <c r="K7" s="90">
        <f>IFERROR(IF(OR(NOT(ISNUMBER(Data!K26)),NOT(ISNUMBER(Data!K14))),"-",Data!K26/Data!K14),"-")</f>
        <v/>
      </c>
      <c r="L7" s="90">
        <f>IFERROR(IF(OR(NOT(ISNUMBER(Data!L26)),NOT(ISNUMBER(Data!L14))),"-",Data!L26/Data!L14),"-")</f>
        <v/>
      </c>
      <c r="M7" s="261" t="n"/>
      <c r="N7" s="266" t="n"/>
      <c r="O7" s="266" t="n"/>
      <c r="P7" s="266" t="n"/>
      <c r="Q7" s="266" t="n"/>
      <c r="R7" s="266" t="n"/>
      <c r="S7" s="266" t="n"/>
      <c r="T7" s="266" t="n"/>
      <c r="U7" s="266" t="n"/>
      <c r="V7" s="261" t="n"/>
      <c r="W7" s="261" t="n"/>
      <c r="X7" s="261" t="n"/>
      <c r="Y7" s="261" t="n"/>
    </row>
    <row r="8" ht="15" customHeight="1" s="74">
      <c r="A8" s="15" t="inlineStr">
        <is>
          <t>FCF Margin</t>
        </is>
      </c>
      <c r="B8" s="89" t="n"/>
      <c r="C8" s="89">
        <f>IFERROR(IF(OR(NOT(ISNUMBER(Data!C53)),NOT(ISNUMBER(Data!C14))),"-",Data!C53/Data!C14),"-")</f>
        <v/>
      </c>
      <c r="D8" s="89">
        <f>IFERROR(IF(OR(NOT(ISNUMBER(Data!D53)),NOT(ISNUMBER(Data!D14))),"-",Data!D53/Data!D14),"-")</f>
        <v/>
      </c>
      <c r="E8" s="89">
        <f>IFERROR(IF(OR(NOT(ISNUMBER(Data!E53)),NOT(ISNUMBER(Data!E14))),"-",Data!E53/Data!E14),"-")</f>
        <v/>
      </c>
      <c r="F8" s="89">
        <f>IFERROR(IF(OR(NOT(ISNUMBER(Data!F53)),NOT(ISNUMBER(Data!F14))),"-",Data!F53/Data!F14),"-")</f>
        <v/>
      </c>
      <c r="G8" s="89">
        <f>IFERROR(IF(OR(NOT(ISNUMBER(Data!G53)),NOT(ISNUMBER(Data!G14))),"-",Data!G53/Data!G14),"-")</f>
        <v/>
      </c>
      <c r="H8" s="89">
        <f>IFERROR(IF(OR(NOT(ISNUMBER(Data!H53)),NOT(ISNUMBER(Data!H14))),"-",Data!H53/Data!H14),"-")</f>
        <v/>
      </c>
      <c r="I8" s="89">
        <f>IFERROR(IF(OR(NOT(ISNUMBER(Data!I53)),NOT(ISNUMBER(Data!I14))),"-",Data!I53/Data!I14),"-")</f>
        <v/>
      </c>
      <c r="J8" s="89">
        <f>IFERROR(IF(OR(NOT(ISNUMBER(Data!J53)),NOT(ISNUMBER(Data!J14))),"-",Data!J53/Data!J14),"-")</f>
        <v/>
      </c>
      <c r="K8" s="89">
        <f>IFERROR(IF(OR(NOT(ISNUMBER(Data!K53)),NOT(ISNUMBER(Data!K14))),"-",Data!K53/Data!K14),"-")</f>
        <v/>
      </c>
      <c r="L8" s="89">
        <f>IFERROR(IF(OR(NOT(ISNUMBER(Data!L53)),NOT(ISNUMBER(Data!L14))),"-",Data!L53/Data!L14),"-")</f>
        <v/>
      </c>
      <c r="M8" s="261" t="n"/>
      <c r="N8" s="266" t="n"/>
      <c r="O8" s="266" t="n"/>
      <c r="P8" s="266" t="n"/>
      <c r="Q8" s="266" t="n"/>
      <c r="R8" s="266" t="n"/>
      <c r="S8" s="266" t="n"/>
      <c r="T8" s="266" t="n"/>
      <c r="U8" s="266" t="n"/>
      <c r="V8" s="261" t="n"/>
      <c r="W8" s="261" t="n"/>
      <c r="X8" s="261" t="n"/>
      <c r="Y8" s="261" t="n"/>
    </row>
    <row r="9">
      <c r="A9" s="2" t="n"/>
      <c r="B9" s="2" t="n"/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N9" s="2" t="n"/>
      <c r="O9" s="2" t="n"/>
      <c r="P9" s="2" t="n"/>
      <c r="Q9" s="2" t="n"/>
      <c r="R9" s="2" t="n"/>
      <c r="S9" s="2" t="n"/>
      <c r="T9" s="2" t="n"/>
      <c r="U9" s="2" t="n"/>
    </row>
    <row r="10" ht="19" customHeight="1" s="74">
      <c r="A10" s="226" t="inlineStr">
        <is>
          <t>RETURNS</t>
        </is>
      </c>
    </row>
    <row r="11" ht="28" customHeight="1" s="74">
      <c r="A11" s="14" t="inlineStr">
        <is>
          <t>Period</t>
        </is>
      </c>
      <c r="B11" s="14">
        <f>Data!B13</f>
        <v/>
      </c>
      <c r="C11" s="14">
        <f>Data!C13</f>
        <v/>
      </c>
      <c r="D11" s="14">
        <f>Data!D13</f>
        <v/>
      </c>
      <c r="E11" s="14">
        <f>Data!E13</f>
        <v/>
      </c>
      <c r="F11" s="14">
        <f>Data!F13</f>
        <v/>
      </c>
      <c r="G11" s="14">
        <f>Data!G13</f>
        <v/>
      </c>
      <c r="H11" s="14">
        <f>Data!H13</f>
        <v/>
      </c>
      <c r="I11" s="14">
        <f>Data!I13</f>
        <v/>
      </c>
      <c r="J11" s="14">
        <f>Data!J13</f>
        <v/>
      </c>
      <c r="K11" s="14">
        <f>Data!K13</f>
        <v/>
      </c>
      <c r="L11" s="14">
        <f>Data!L13</f>
        <v/>
      </c>
      <c r="N11" s="267" t="inlineStr">
        <is>
          <t>Year -2
Q1</t>
        </is>
      </c>
      <c r="O11" s="267" t="inlineStr">
        <is>
          <t>Year -2
Q2</t>
        </is>
      </c>
      <c r="P11" s="267" t="inlineStr">
        <is>
          <t>Year -2
Q3</t>
        </is>
      </c>
      <c r="Q11" s="267" t="inlineStr">
        <is>
          <t>Year -2
Q4</t>
        </is>
      </c>
      <c r="R11" s="267" t="inlineStr">
        <is>
          <t>Year -1
Q1</t>
        </is>
      </c>
      <c r="S11" s="267" t="inlineStr">
        <is>
          <t>Year -1
Q2</t>
        </is>
      </c>
      <c r="T11" s="267" t="inlineStr">
        <is>
          <t>Year -1
Q3</t>
        </is>
      </c>
      <c r="U11" s="267" t="inlineStr">
        <is>
          <t>Year -1
Q4</t>
        </is>
      </c>
      <c r="V11" s="267" t="inlineStr">
        <is>
          <t>Current Year
Q1</t>
        </is>
      </c>
      <c r="W11" s="267" t="inlineStr">
        <is>
          <t>Current Year
Q2</t>
        </is>
      </c>
      <c r="X11" s="267" t="inlineStr">
        <is>
          <t>Current Year
Q3</t>
        </is>
      </c>
      <c r="Y11" s="267" t="inlineStr">
        <is>
          <t>Current Year
Q4</t>
        </is>
      </c>
    </row>
    <row r="12" ht="15" customHeight="1" s="74">
      <c r="A12" s="15" t="inlineStr">
        <is>
          <t>ROE</t>
        </is>
      </c>
      <c r="B12" s="89" t="n"/>
      <c r="C12" s="89">
        <f>IFERROR(IF(OR(NOT(ISNUMBER(Data!C26)),NOT(ISNUMBER(Data!C41))),"-",Data!C26/(IF(OR(NOT(ISNUMBER(Data!B41)),Data!B41=0),Data!C41,(Data!C41+Data!B41)/2))),"-")</f>
        <v/>
      </c>
      <c r="D12" s="89">
        <f>IFERROR(IF(OR(NOT(ISNUMBER(Data!D26)),NOT(ISNUMBER(Data!D41))),"-",Data!D26/(IF(OR(NOT(ISNUMBER(Data!C41)),Data!C41=0),Data!D41,(Data!D41+Data!C41)/2))),"-")</f>
        <v/>
      </c>
      <c r="E12" s="89">
        <f>IFERROR(IF(OR(NOT(ISNUMBER(Data!E26)),NOT(ISNUMBER(Data!E41))),"-",Data!E26/(IF(OR(NOT(ISNUMBER(Data!D41)),Data!D41=0),Data!E41,(Data!E41+Data!D41)/2))),"-")</f>
        <v/>
      </c>
      <c r="F12" s="89">
        <f>IFERROR(IF(OR(NOT(ISNUMBER(Data!F26)),NOT(ISNUMBER(Data!F41))),"-",Data!F26/(IF(OR(NOT(ISNUMBER(Data!E41)),Data!E41=0),Data!F41,(Data!F41+Data!E41)/2))),"-")</f>
        <v/>
      </c>
      <c r="G12" s="89">
        <f>IFERROR(IF(OR(NOT(ISNUMBER(Data!G26)),NOT(ISNUMBER(Data!G41))),"-",Data!G26/(IF(OR(NOT(ISNUMBER(Data!F41)),Data!F41=0),Data!G41,(Data!G41+Data!F41)/2))),"-")</f>
        <v/>
      </c>
      <c r="H12" s="89">
        <f>IFERROR(IF(OR(NOT(ISNUMBER(Data!H26)),NOT(ISNUMBER(Data!H41))),"-",Data!H26/(IF(OR(NOT(ISNUMBER(Data!G41)),Data!G41=0),Data!H41,(Data!H41+Data!G41)/2))),"-")</f>
        <v/>
      </c>
      <c r="I12" s="89">
        <f>IFERROR(IF(OR(NOT(ISNUMBER(Data!I26)),NOT(ISNUMBER(Data!I41))),"-",Data!I26/(IF(OR(NOT(ISNUMBER(Data!H41)),Data!H41=0),Data!I41,(Data!I41+Data!H41)/2))),"-")</f>
        <v/>
      </c>
      <c r="J12" s="89">
        <f>IFERROR(IF(OR(NOT(ISNUMBER(Data!J26)),NOT(ISNUMBER(Data!J41))),"-",Data!J26/(IF(OR(NOT(ISNUMBER(Data!I41)),Data!I41=0),Data!J41,(Data!J41+Data!I41)/2))),"-")</f>
        <v/>
      </c>
      <c r="K12" s="89">
        <f>IFERROR(IF(OR(NOT(ISNUMBER(Data!K26)),NOT(ISNUMBER(Data!K41))),"-",Data!K26/(IF(OR(NOT(ISNUMBER(Data!J41)),Data!J41=0),Data!K41,(Data!K41+Data!J41)/2))),"-")</f>
        <v/>
      </c>
      <c r="L12" s="89">
        <f>IFERROR(IF(OR(NOT(ISNUMBER(Data!L26)),NOT(ISNUMBER(Data!L41))),"-",Data!L26/(IF(OR(NOT(ISNUMBER(Data!K41)),Data!K41=0),Data!L41,(Data!L41+Data!K41)/2))),"-")</f>
        <v/>
      </c>
      <c r="M12" s="261" t="n"/>
      <c r="N12" s="250" t="n"/>
      <c r="O12" s="250" t="n"/>
      <c r="P12" s="250" t="n"/>
      <c r="Q12" s="250">
        <f>IFERROR(IF(OR(NOT(ISNUMBER(Data!N26)),NOT(ISNUMBER(Data!O26)),NOT(ISNUMBER(Data!P26)),NOT(ISNUMBER(Data!Q26)),NOT(ISNUMBER(Data!Q41))),"-",(Data!N26+Data!O26+Data!P26+Data!Q26)/Data!Q41),"-")</f>
        <v/>
      </c>
      <c r="R12" s="250">
        <f>IFERROR(IF(OR(NOT(ISNUMBER(Data!O26)),NOT(ISNUMBER(Data!P26)),NOT(ISNUMBER(Data!Q26)),NOT(ISNUMBER(Data!R26)),NOT(ISNUMBER(Data!R41)),NOT(ISNUMBER(Data!N41))),"-",(Data!O26+Data!P26+Data!Q26+Data!R26)/((Data!R41+Data!N41)/2)),"-")</f>
        <v/>
      </c>
      <c r="S12" s="250">
        <f>IFERROR(IF(OR(NOT(ISNUMBER(Data!P26)),NOT(ISNUMBER(Data!Q26)),NOT(ISNUMBER(Data!R26)),NOT(ISNUMBER(Data!S26)),NOT(ISNUMBER(Data!S41)),NOT(ISNUMBER(Data!O41))),"-",(Data!P26+Data!Q26+Data!R26+Data!S26)/((Data!S41+Data!O41)/2)),"-")</f>
        <v/>
      </c>
      <c r="T12" s="250">
        <f>IFERROR(IF(OR(NOT(ISNUMBER(Data!Q26)),NOT(ISNUMBER(Data!R26)),NOT(ISNUMBER(Data!S26)),NOT(ISNUMBER(Data!T26)),NOT(ISNUMBER(Data!T41)),NOT(ISNUMBER(Data!P41))),"-",(Data!Q26+Data!R26+Data!S26+Data!T26)/((Data!T41+Data!P41)/2)),"-")</f>
        <v/>
      </c>
      <c r="U12" s="250">
        <f>IFERROR(IF(OR(NOT(ISNUMBER(Data!R26)),NOT(ISNUMBER(Data!S26)),NOT(ISNUMBER(Data!T26)),NOT(ISNUMBER(Data!U26)),NOT(ISNUMBER(Data!U41)),NOT(ISNUMBER(Data!Q41))),"-",(Data!R26+Data!S26+Data!T26+Data!U26)/((Data!U41+Data!Q41)/2)),"-")</f>
        <v/>
      </c>
      <c r="V12" s="258">
        <f>IFERROR(IF(OR(NOT(ISNUMBER(Data!S26)),NOT(ISNUMBER(Data!T26)),NOT(ISNUMBER(Data!U26)),NOT(ISNUMBER(Data!V26)),NOT(ISNUMBER(Data!V41)),NOT(ISNUMBER(Data!R41))),"-",(Data!S26+Data!T26+Data!U26+Data!V26)/((Data!V41+Data!R41)/2)),"-")</f>
        <v/>
      </c>
      <c r="W12" s="258">
        <f>IFERROR(IF(OR(NOT(ISNUMBER(Data!T26)),NOT(ISNUMBER(Data!U26)),NOT(ISNUMBER(Data!V26)),NOT(ISNUMBER(Data!W26)),NOT(ISNUMBER(Data!W41)),NOT(ISNUMBER(Data!S41))),"-",(Data!T26+Data!U26+Data!V26+Data!W26)/((Data!W41+Data!S41)/2)),"-")</f>
        <v/>
      </c>
      <c r="X12" s="258">
        <f>IFERROR(IF(OR(NOT(ISNUMBER(Data!U26)),NOT(ISNUMBER(Data!V26)),NOT(ISNUMBER(Data!W26)),NOT(ISNUMBER(Data!X26)),NOT(ISNUMBER(Data!X41)),NOT(ISNUMBER(Data!T41))),"-",(Data!U26+Data!V26+Data!W26+Data!X26)/((Data!X41+Data!T41)/2)),"-")</f>
        <v/>
      </c>
      <c r="Y12" s="258">
        <f>IFERROR(IF(OR(NOT(ISNUMBER(Data!V26)),NOT(ISNUMBER(Data!W26)),NOT(ISNUMBER(Data!X26)),NOT(ISNUMBER(Data!Y26)),NOT(ISNUMBER(Data!Y41)),NOT(ISNUMBER(Data!U41))),"-",(Data!V26+Data!W26+Data!X26+Data!Y26)/((Data!Y41+Data!U41)/2)),"-")</f>
        <v/>
      </c>
    </row>
    <row r="13" ht="15" customHeight="1" s="74">
      <c r="A13" s="17" t="inlineStr">
        <is>
          <t>ROA</t>
        </is>
      </c>
      <c r="B13" s="90" t="n"/>
      <c r="C13" s="90">
        <f>IFERROR(IF(OR(NOT(ISNUMBER(Data!C26)),NOT(ISNUMBER(Data!C39))),"-",Data!C26/(IF(OR(NOT(ISNUMBER(Data!B39)),Data!B39=0),Data!C39,(Data!C39+Data!B39)/2))),"-")</f>
        <v/>
      </c>
      <c r="D13" s="90">
        <f>IFERROR(IF(OR(NOT(ISNUMBER(Data!D26)),NOT(ISNUMBER(Data!D39))),"-",Data!D26/(IF(OR(NOT(ISNUMBER(Data!C39)),Data!C39=0),Data!D39,(Data!D39+Data!C39)/2))),"-")</f>
        <v/>
      </c>
      <c r="E13" s="90">
        <f>IFERROR(IF(OR(NOT(ISNUMBER(Data!E26)),NOT(ISNUMBER(Data!E39))),"-",Data!E26/(IF(OR(NOT(ISNUMBER(Data!D39)),Data!D39=0),Data!E39,(Data!E39+Data!D39)/2))),"-")</f>
        <v/>
      </c>
      <c r="F13" s="90">
        <f>IFERROR(IF(OR(NOT(ISNUMBER(Data!F26)),NOT(ISNUMBER(Data!F39))),"-",Data!F26/(IF(OR(NOT(ISNUMBER(Data!E39)),Data!E39=0),Data!F39,(Data!F39+Data!E39)/2))),"-")</f>
        <v/>
      </c>
      <c r="G13" s="90">
        <f>IFERROR(IF(OR(NOT(ISNUMBER(Data!G26)),NOT(ISNUMBER(Data!G39))),"-",Data!G26/(IF(OR(NOT(ISNUMBER(Data!F39)),Data!F39=0),Data!G39,(Data!G39+Data!F39)/2))),"-")</f>
        <v/>
      </c>
      <c r="H13" s="90">
        <f>IFERROR(IF(OR(NOT(ISNUMBER(Data!H26)),NOT(ISNUMBER(Data!H39))),"-",Data!H26/(IF(OR(NOT(ISNUMBER(Data!G39)),Data!G39=0),Data!H39,(Data!H39+Data!G39)/2))),"-")</f>
        <v/>
      </c>
      <c r="I13" s="90">
        <f>IFERROR(IF(OR(NOT(ISNUMBER(Data!I26)),NOT(ISNUMBER(Data!I39))),"-",Data!I26/(IF(OR(NOT(ISNUMBER(Data!H39)),Data!H39=0),Data!I39,(Data!I39+Data!H39)/2))),"-")</f>
        <v/>
      </c>
      <c r="J13" s="90">
        <f>IFERROR(IF(OR(NOT(ISNUMBER(Data!J26)),NOT(ISNUMBER(Data!J39))),"-",Data!J26/(IF(OR(NOT(ISNUMBER(Data!I39)),Data!I39=0),Data!J39,(Data!J39+Data!I39)/2))),"-")</f>
        <v/>
      </c>
      <c r="K13" s="90">
        <f>IFERROR(IF(OR(NOT(ISNUMBER(Data!K26)),NOT(ISNUMBER(Data!K39))),"-",Data!K26/(IF(OR(NOT(ISNUMBER(Data!J39)),Data!J39=0),Data!K39,(Data!K39+Data!J39)/2))),"-")</f>
        <v/>
      </c>
      <c r="L13" s="90">
        <f>IFERROR(IF(OR(NOT(ISNUMBER(Data!L26)),NOT(ISNUMBER(Data!L39))),"-",Data!L26/(IF(OR(NOT(ISNUMBER(Data!K39)),Data!K39=0),Data!L39,(Data!L39+Data!K39)/2))),"-")</f>
        <v/>
      </c>
      <c r="M13" s="261" t="n"/>
      <c r="N13" s="249" t="n"/>
      <c r="O13" s="249" t="n"/>
      <c r="P13" s="249" t="n"/>
      <c r="Q13" s="249">
        <f>IFERROR(IF(OR(NOT(ISNUMBER(Data!N26)),NOT(ISNUMBER(Data!O26)),NOT(ISNUMBER(Data!P26)),NOT(ISNUMBER(Data!Q26)),NOT(ISNUMBER(Data!Q39))),"-",(Data!N26+Data!O26+Data!P26+Data!Q26)/Data!Q39),"-")</f>
        <v/>
      </c>
      <c r="R13" s="249">
        <f>IFERROR(IF(OR(NOT(ISNUMBER(Data!O26)),NOT(ISNUMBER(Data!P26)),NOT(ISNUMBER(Data!Q26)),NOT(ISNUMBER(Data!R26)),NOT(ISNUMBER(Data!R39)),NOT(ISNUMBER(Data!N39))),"-",(Data!O26+Data!P26+Data!Q26+Data!R26)/((Data!R39+Data!N39)/2)),"-")</f>
        <v/>
      </c>
      <c r="S13" s="249">
        <f>IFERROR(IF(OR(NOT(ISNUMBER(Data!P26)),NOT(ISNUMBER(Data!Q26)),NOT(ISNUMBER(Data!R26)),NOT(ISNUMBER(Data!S26)),NOT(ISNUMBER(Data!S39)),NOT(ISNUMBER(Data!O39))),"-",(Data!P26+Data!Q26+Data!R26+Data!S26)/((Data!S39+Data!O39)/2)),"-")</f>
        <v/>
      </c>
      <c r="T13" s="249">
        <f>IFERROR(IF(OR(NOT(ISNUMBER(Data!Q26)),NOT(ISNUMBER(Data!R26)),NOT(ISNUMBER(Data!S26)),NOT(ISNUMBER(Data!T26)),NOT(ISNUMBER(Data!T39)),NOT(ISNUMBER(Data!P39))),"-",(Data!Q26+Data!R26+Data!S26+Data!T26)/((Data!T39+Data!P39)/2)),"-")</f>
        <v/>
      </c>
      <c r="U13" s="249">
        <f>IFERROR(IF(OR(NOT(ISNUMBER(Data!R26)),NOT(ISNUMBER(Data!S26)),NOT(ISNUMBER(Data!T26)),NOT(ISNUMBER(Data!U26)),NOT(ISNUMBER(Data!U39)),NOT(ISNUMBER(Data!Q39))),"-",(Data!R26+Data!S26+Data!T26+Data!U26)/((Data!U39+Data!Q39)/2)),"-")</f>
        <v/>
      </c>
      <c r="V13" s="256">
        <f>IFERROR(IF(OR(NOT(ISNUMBER(Data!S26)),NOT(ISNUMBER(Data!T26)),NOT(ISNUMBER(Data!U26)),NOT(ISNUMBER(Data!V26)),NOT(ISNUMBER(Data!V39)),NOT(ISNUMBER(Data!R39))),"-",(Data!S26+Data!T26+Data!U26+Data!V26)/((Data!V39+Data!R39)/2)),"-")</f>
        <v/>
      </c>
      <c r="W13" s="256">
        <f>IFERROR(IF(OR(NOT(ISNUMBER(Data!T26)),NOT(ISNUMBER(Data!U26)),NOT(ISNUMBER(Data!V26)),NOT(ISNUMBER(Data!W26)),NOT(ISNUMBER(Data!W39)),NOT(ISNUMBER(Data!S39))),"-",(Data!T26+Data!U26+Data!V26+Data!W26)/((Data!W39+Data!S39)/2)),"-")</f>
        <v/>
      </c>
      <c r="X13" s="256">
        <f>IFERROR(IF(OR(NOT(ISNUMBER(Data!U26)),NOT(ISNUMBER(Data!V26)),NOT(ISNUMBER(Data!W26)),NOT(ISNUMBER(Data!X26)),NOT(ISNUMBER(Data!X39)),NOT(ISNUMBER(Data!T39))),"-",(Data!U26+Data!V26+Data!W26+Data!X26)/((Data!X39+Data!T39)/2)),"-")</f>
        <v/>
      </c>
      <c r="Y13" s="256">
        <f>IFERROR(IF(OR(NOT(ISNUMBER(Data!V26)),NOT(ISNUMBER(Data!W26)),NOT(ISNUMBER(Data!X26)),NOT(ISNUMBER(Data!Y26)),NOT(ISNUMBER(Data!Y39)),NOT(ISNUMBER(Data!U39))),"-",(Data!V26+Data!W26+Data!X26+Data!Y26)/((Data!Y39+Data!U39)/2)),"-")</f>
        <v/>
      </c>
    </row>
    <row r="14" ht="15" customHeight="1" s="74">
      <c r="A14" s="15" t="inlineStr">
        <is>
          <t>ROIC</t>
        </is>
      </c>
      <c r="B14" s="89" t="n"/>
      <c r="C14" s="89">
        <f>IFERROR(IF(NOT(ISNUMBER(Data!C22)),"-",(Data!C22*(1-IF(AND(ISNUMBER(Data!C24),Data!C24&lt;&gt;0,ISNUMBER(Data!C25)),Data!C25/Data!C24,0.21)))/(IF(AND(ISNUMBER(Data!B41),ISNUMBER(Data!B35),ISNUMBER(Data!B32)),((Data!C41+Data!C35-Data!C32)+(Data!B41+Data!B35-Data!B32))/2,(Data!C41+Data!C35-Data!C32)))),"-")</f>
        <v/>
      </c>
      <c r="D14" s="89">
        <f>IFERROR(IF(NOT(ISNUMBER(Data!D22)),"-",(Data!D22*(1-IF(AND(ISNUMBER(Data!D24),Data!D24&lt;&gt;0,ISNUMBER(Data!D25)),Data!D25/Data!D24,0.21)))/(IF(AND(ISNUMBER(Data!C41),ISNUMBER(Data!C35),ISNUMBER(Data!C32)),((Data!D41+Data!D35-Data!D32)+(Data!C41+Data!C35-Data!C32))/2,(Data!D41+Data!D35-Data!D32)))),"-")</f>
        <v/>
      </c>
      <c r="E14" s="89">
        <f>IFERROR(IF(NOT(ISNUMBER(Data!E22)),"-",(Data!E22*(1-IF(AND(ISNUMBER(Data!E24),Data!E24&lt;&gt;0,ISNUMBER(Data!E25)),Data!E25/Data!E24,0.21)))/(IF(AND(ISNUMBER(Data!D41),ISNUMBER(Data!D35),ISNUMBER(Data!D32)),((Data!E41+Data!E35-Data!E32)+(Data!D41+Data!D35-Data!D32))/2,(Data!E41+Data!E35-Data!E32)))),"-")</f>
        <v/>
      </c>
      <c r="F14" s="89">
        <f>IFERROR(IF(NOT(ISNUMBER(Data!F22)),"-",(Data!F22*(1-IF(AND(ISNUMBER(Data!F24),Data!F24&lt;&gt;0,ISNUMBER(Data!F25)),Data!F25/Data!F24,0.21)))/(IF(AND(ISNUMBER(Data!E41),ISNUMBER(Data!E35),ISNUMBER(Data!E32)),((Data!F41+Data!F35-Data!F32)+(Data!E41+Data!E35-Data!E32))/2,(Data!F41+Data!F35-Data!F32)))),"-")</f>
        <v/>
      </c>
      <c r="G14" s="89">
        <f>IFERROR(IF(NOT(ISNUMBER(Data!G22)),"-",(Data!G22*(1-IF(AND(ISNUMBER(Data!G24),Data!G24&lt;&gt;0,ISNUMBER(Data!G25)),Data!G25/Data!G24,0.21)))/(IF(AND(ISNUMBER(Data!F41),ISNUMBER(Data!F35),ISNUMBER(Data!F32)),((Data!G41+Data!G35-Data!G32)+(Data!F41+Data!F35-Data!F32))/2,(Data!G41+Data!G35-Data!G32)))),"-")</f>
        <v/>
      </c>
      <c r="H14" s="89">
        <f>IFERROR(IF(NOT(ISNUMBER(Data!H22)),"-",(Data!H22*(1-IF(AND(ISNUMBER(Data!H24),Data!H24&lt;&gt;0,ISNUMBER(Data!H25)),Data!H25/Data!H24,0.21)))/(IF(AND(ISNUMBER(Data!G41),ISNUMBER(Data!G35),ISNUMBER(Data!G32)),((Data!H41+Data!H35-Data!H32)+(Data!G41+Data!G35-Data!G32))/2,(Data!H41+Data!H35-Data!H32)))),"-")</f>
        <v/>
      </c>
      <c r="I14" s="89">
        <f>IFERROR(IF(NOT(ISNUMBER(Data!I22)),"-",(Data!I22*(1-IF(AND(ISNUMBER(Data!I24),Data!I24&lt;&gt;0,ISNUMBER(Data!I25)),Data!I25/Data!I24,0.21)))/(IF(AND(ISNUMBER(Data!H41),ISNUMBER(Data!H35),ISNUMBER(Data!H32)),((Data!I41+Data!I35-Data!I32)+(Data!H41+Data!H35-Data!H32))/2,(Data!I41+Data!I35-Data!I32)))),"-")</f>
        <v/>
      </c>
      <c r="J14" s="89">
        <f>IFERROR(IF(NOT(ISNUMBER(Data!J22)),"-",(Data!J22*(1-IF(AND(ISNUMBER(Data!J24),Data!J24&lt;&gt;0,ISNUMBER(Data!J25)),Data!J25/Data!J24,0.21)))/(IF(AND(ISNUMBER(Data!I41),ISNUMBER(Data!I35),ISNUMBER(Data!I32)),((Data!J41+Data!J35-Data!J32)+(Data!I41+Data!I35-Data!I32))/2,(Data!J41+Data!J35-Data!J32)))),"-")</f>
        <v/>
      </c>
      <c r="K14" s="89">
        <f>IFERROR(IF(NOT(ISNUMBER(Data!K22)),"-",(Data!K22*(1-IF(AND(ISNUMBER(Data!K24),Data!K24&lt;&gt;0,ISNUMBER(Data!K25)),Data!K25/Data!K24,0.21)))/(IF(AND(ISNUMBER(Data!J41),ISNUMBER(Data!J35),ISNUMBER(Data!J32)),((Data!K41+Data!K35-Data!K32)+(Data!J41+Data!J35-Data!J32))/2,(Data!K41+Data!K35-Data!K32)))),"-")</f>
        <v/>
      </c>
      <c r="L14" s="89">
        <f>IFERROR(IF(NOT(ISNUMBER(Data!L22)),"-",(Data!L22*(1-IF(AND(ISNUMBER(Data!L24),Data!L24&lt;&gt;0,ISNUMBER(Data!L25)),Data!L25/Data!L24,0.21)))/(IF(AND(ISNUMBER(Data!K41),ISNUMBER(Data!K35),ISNUMBER(Data!K32)),((Data!L41+Data!L35-Data!L32)+(Data!K41+Data!K35-Data!K32))/2,(Data!L41+Data!L35-Data!L32)))),"-")</f>
        <v/>
      </c>
      <c r="M14" s="261" t="n"/>
      <c r="N14" s="250" t="n"/>
      <c r="O14" s="250" t="n"/>
      <c r="P14" s="250" t="n"/>
      <c r="Q14" s="250">
        <f>IFERROR(IF(OR(NOT(ISNUMBER(Data!N22)),NOT(ISNUMBER(Data!O22)),NOT(ISNUMBER(Data!P22)),NOT(ISNUMBER(Data!Q22))),"-",((Data!N22+Data!O22+Data!P22+Data!Q22)*(1-IFERROR((Data!N25+Data!O25+Data!P25+Data!Q25)/(Data!N24+Data!O24+Data!P24+Data!Q24),0.21)))/(Data!Q41+Data!Q35-Data!Q32)),"-")</f>
        <v/>
      </c>
      <c r="R14" s="250">
        <f>IFERROR(IF(OR(NOT(ISNUMBER(Data!O22)),NOT(ISNUMBER(Data!P22)),NOT(ISNUMBER(Data!Q22)),NOT(ISNUMBER(Data!R22))),"-",((Data!O22+Data!P22+Data!Q22+Data!R22)*(1-IFERROR((Data!O25+Data!P25+Data!Q25+Data!R25)/(Data!O24+Data!P24+Data!Q24+Data!R24),0.21)))/(((Data!R41+Data!R35-Data!R32)+(Data!N41+Data!N35-Data!N32))/2)),"-")</f>
        <v/>
      </c>
      <c r="S14" s="250">
        <f>IFERROR(IF(OR(NOT(ISNUMBER(Data!P22)),NOT(ISNUMBER(Data!Q22)),NOT(ISNUMBER(Data!R22)),NOT(ISNUMBER(Data!S22))),"-",((Data!P22+Data!Q22+Data!R22+Data!S22)*(1-IFERROR((Data!P25+Data!Q25+Data!R25+Data!S25)/(Data!P24+Data!Q24+Data!R24+Data!S24),0.21)))/(((Data!S41+Data!S35-Data!S32)+(Data!O41+Data!O35-Data!O32))/2)),"-")</f>
        <v/>
      </c>
      <c r="T14" s="250">
        <f>IFERROR(IF(OR(NOT(ISNUMBER(Data!Q22)),NOT(ISNUMBER(Data!R22)),NOT(ISNUMBER(Data!S22)),NOT(ISNUMBER(Data!T22))),"-",((Data!Q22+Data!R22+Data!S22+Data!T22)*(1-IFERROR((Data!Q25+Data!R25+Data!S25+Data!T25)/(Data!Q24+Data!R24+Data!S24+Data!T24),0.21)))/(((Data!T41+Data!T35-Data!T32)+(Data!P41+Data!P35-Data!P32))/2)),"-")</f>
        <v/>
      </c>
      <c r="U14" s="250">
        <f>IFERROR(IF(OR(NOT(ISNUMBER(Data!R22)),NOT(ISNUMBER(Data!S22)),NOT(ISNUMBER(Data!T22)),NOT(ISNUMBER(Data!U22))),"-",((Data!R22+Data!S22+Data!T22+Data!U22)*(1-IFERROR((Data!R25+Data!S25+Data!T25+Data!U25)/(Data!R24+Data!S24+Data!T24+Data!U24),0.21)))/(((Data!U41+Data!U35-Data!U32)+(Data!Q41+Data!Q35-Data!Q32))/2)),"-")</f>
        <v/>
      </c>
      <c r="V14" s="258">
        <f>IFERROR(IF(OR(NOT(ISNUMBER(Data!S22)),NOT(ISNUMBER(Data!T22)),NOT(ISNUMBER(Data!U22)),NOT(ISNUMBER(Data!V22))),"-",((Data!S22+Data!T22+Data!U22+Data!V22)*(1-IFERROR((Data!S25+Data!T25+Data!U25+Data!V25)/(Data!S24+Data!T24+Data!U24+Data!V24),0.21)))/(((Data!V41+Data!V35-Data!V32)+(Data!R41+Data!R35-Data!R32))/2)),"-")</f>
        <v/>
      </c>
      <c r="W14" s="258">
        <f>IFERROR(IF(OR(NOT(ISNUMBER(Data!T22)),NOT(ISNUMBER(Data!U22)),NOT(ISNUMBER(Data!V22)),NOT(ISNUMBER(Data!W22))),"-",((Data!T22+Data!U22+Data!V22+Data!W22)*(1-IFERROR((Data!T25+Data!U25+Data!V25+Data!W25)/(Data!T24+Data!U24+Data!V24+Data!W24),0.21)))/(((Data!W41+Data!W35-Data!W32)+(Data!S41+Data!S35-Data!S32))/2)),"-")</f>
        <v/>
      </c>
      <c r="X14" s="258">
        <f>IFERROR(IF(OR(NOT(ISNUMBER(Data!U22)),NOT(ISNUMBER(Data!V22)),NOT(ISNUMBER(Data!W22)),NOT(ISNUMBER(Data!X22))),"-",((Data!U22+Data!V22+Data!W22+Data!X22)*(1-IFERROR((Data!U25+Data!V25+Data!W25+Data!X25)/(Data!U24+Data!V24+Data!W24+Data!X24),0.21)))/(((Data!X41+Data!X35-Data!X32)+(Data!T41+Data!T35-Data!T32))/2)),"-")</f>
        <v/>
      </c>
      <c r="Y14" s="258">
        <f>IFERROR(IF(OR(NOT(ISNUMBER(Data!V22)),NOT(ISNUMBER(Data!W22)),NOT(ISNUMBER(Data!X22)),NOT(ISNUMBER(Data!Y22))),"-",((Data!V22+Data!W22+Data!X22+Data!Y22)*(1-IFERROR((Data!V25+Data!W25+Data!X25+Data!Y25)/(Data!V24+Data!W24+Data!X24+Data!Y24),0.21)))/(((Data!Y41+Data!Y35-Data!Y32)+(Data!U41+Data!U35-Data!U32))/2)),"-")</f>
        <v/>
      </c>
    </row>
    <row r="15" ht="15" customHeight="1" s="74">
      <c r="A15" s="17" t="inlineStr">
        <is>
          <t>Interest Coverage</t>
        </is>
      </c>
      <c r="B15" s="91">
        <f>IFERROR(Data!B22/Data!B23,"-")</f>
        <v/>
      </c>
      <c r="C15" s="91">
        <f>IFERROR(IF(OR(NOT(ISNUMBER(Data!C22)),NOT(ISNUMBER(Data!C23))),"-",ABS(Data!C22)/ABS(Data!C23)),"-")</f>
        <v/>
      </c>
      <c r="D15" s="91">
        <f>IFERROR(IF(OR(NOT(ISNUMBER(Data!D22)),NOT(ISNUMBER(Data!D23))),"-",ABS(Data!D22)/ABS(Data!D23)),"-")</f>
        <v/>
      </c>
      <c r="E15" s="91">
        <f>IFERROR(IF(OR(NOT(ISNUMBER(Data!E22)),NOT(ISNUMBER(Data!E23))),"-",ABS(Data!E22)/ABS(Data!E23)),"-")</f>
        <v/>
      </c>
      <c r="F15" s="91">
        <f>IFERROR(IF(OR(NOT(ISNUMBER(Data!F22)),NOT(ISNUMBER(Data!F23))),"-",ABS(Data!F22)/ABS(Data!F23)),"-")</f>
        <v/>
      </c>
      <c r="G15" s="91">
        <f>IFERROR(IF(OR(NOT(ISNUMBER(Data!G22)),NOT(ISNUMBER(Data!G23))),"-",ABS(Data!G22)/ABS(Data!G23)),"-")</f>
        <v/>
      </c>
      <c r="H15" s="91">
        <f>IFERROR(IF(OR(NOT(ISNUMBER(Data!H22)),NOT(ISNUMBER(Data!H23))),"-",ABS(Data!H22)/ABS(Data!H23)),"-")</f>
        <v/>
      </c>
      <c r="I15" s="91">
        <f>IFERROR(IF(OR(NOT(ISNUMBER(Data!I22)),NOT(ISNUMBER(Data!I23))),"-",ABS(Data!I22)/ABS(Data!I23)),"-")</f>
        <v/>
      </c>
      <c r="J15" s="91">
        <f>IFERROR(IF(OR(NOT(ISNUMBER(Data!J22)),NOT(ISNUMBER(Data!J23))),"-",ABS(Data!J22)/ABS(Data!J23)),"-")</f>
        <v/>
      </c>
      <c r="K15" s="91">
        <f>IFERROR(IF(OR(NOT(ISNUMBER(Data!K22)),NOT(ISNUMBER(Data!K23))),"-",ABS(Data!K22)/ABS(Data!K23)),"-")</f>
        <v/>
      </c>
      <c r="L15" s="91">
        <f>IFERROR(IF(OR(NOT(ISNUMBER(Data!L22)),NOT(ISNUMBER(Data!L23))),"-",ABS(Data!L22)/ABS(Data!L23)),"-")</f>
        <v/>
      </c>
      <c r="M15" s="261" t="n"/>
      <c r="N15" s="244" t="n"/>
      <c r="O15" s="244" t="n"/>
      <c r="P15" s="244" t="n"/>
      <c r="Q15" s="244">
        <f>IFERROR(IF(OR(NOT(ISNUMBER(Data!N22)),NOT(ISNUMBER(Data!O22)),NOT(ISNUMBER(Data!P22)),NOT(ISNUMBER(Data!Q22)),NOT(ISNUMBER(Data!N23)),NOT(ISNUMBER(Data!O23)),NOT(ISNUMBER(Data!P23)),NOT(ISNUMBER(Data!Q23))),"-",ABS((Data!N22+Data!O22+Data!P22+Data!Q22))/ABS((Data!N23+Data!O23+Data!P23+Data!Q23))),"-")</f>
        <v/>
      </c>
      <c r="R15" s="244">
        <f>IFERROR(IF(OR(NOT(ISNUMBER(Data!O22)),NOT(ISNUMBER(Data!P22)),NOT(ISNUMBER(Data!Q22)),NOT(ISNUMBER(Data!R22)),NOT(ISNUMBER(Data!O23)),NOT(ISNUMBER(Data!P23)),NOT(ISNUMBER(Data!Q23)),NOT(ISNUMBER(Data!R23))),"-",ABS((Data!O22+Data!P22+Data!Q22+Data!R22))/ABS((Data!O23+Data!P23+Data!Q23+Data!R23))),"-")</f>
        <v/>
      </c>
      <c r="S15" s="244">
        <f>IFERROR(IF(OR(NOT(ISNUMBER(Data!P22)),NOT(ISNUMBER(Data!Q22)),NOT(ISNUMBER(Data!R22)),NOT(ISNUMBER(Data!S22)),NOT(ISNUMBER(Data!P23)),NOT(ISNUMBER(Data!Q23)),NOT(ISNUMBER(Data!R23)),NOT(ISNUMBER(Data!S23))),"-",ABS((Data!P22+Data!Q22+Data!R22+Data!S22))/ABS((Data!P23+Data!Q23+Data!R23+Data!S23))),"-")</f>
        <v/>
      </c>
      <c r="T15" s="244">
        <f>IFERROR(IF(OR(NOT(ISNUMBER(Data!Q22)),NOT(ISNUMBER(Data!R22)),NOT(ISNUMBER(Data!S22)),NOT(ISNUMBER(Data!T22)),NOT(ISNUMBER(Data!Q23)),NOT(ISNUMBER(Data!R23)),NOT(ISNUMBER(Data!S23)),NOT(ISNUMBER(Data!T23))),"-",ABS((Data!Q22+Data!R22+Data!S22+Data!T22))/ABS((Data!Q23+Data!R23+Data!S23+Data!T23))),"-")</f>
        <v/>
      </c>
      <c r="U15" s="244">
        <f>IFERROR(IF(OR(NOT(ISNUMBER(Data!R22)),NOT(ISNUMBER(Data!S22)),NOT(ISNUMBER(Data!T22)),NOT(ISNUMBER(Data!U22)),NOT(ISNUMBER(Data!R23)),NOT(ISNUMBER(Data!S23)),NOT(ISNUMBER(Data!T23)),NOT(ISNUMBER(Data!U23))),"-",ABS((Data!R22+Data!S22+Data!T22+Data!U22))/ABS((Data!R23+Data!S23+Data!T23+Data!U23))),"-")</f>
        <v/>
      </c>
      <c r="V15" s="256">
        <f>IFERROR(IF(OR(NOT(ISNUMBER(Data!S22)),NOT(ISNUMBER(Data!T22)),NOT(ISNUMBER(Data!U22)),NOT(ISNUMBER(Data!V22)),NOT(ISNUMBER(Data!S23)),NOT(ISNUMBER(Data!T23)),NOT(ISNUMBER(Data!U23)),NOT(ISNUMBER(Data!V23))),"-",ABS((Data!S22+Data!T22+Data!U22+Data!V22))/ABS((Data!S23+Data!T23+Data!U23+Data!V23))),"-")</f>
        <v/>
      </c>
      <c r="W15" s="256">
        <f>IFERROR(IF(OR(NOT(ISNUMBER(Data!T22)),NOT(ISNUMBER(Data!U22)),NOT(ISNUMBER(Data!V22)),NOT(ISNUMBER(Data!W22)),NOT(ISNUMBER(Data!T23)),NOT(ISNUMBER(Data!U23)),NOT(ISNUMBER(Data!V23)),NOT(ISNUMBER(Data!W23))),"-",ABS((Data!T22+Data!U22+Data!V22+Data!W22))/ABS((Data!T23+Data!U23+Data!V23+Data!W23))),"-")</f>
        <v/>
      </c>
      <c r="X15" s="461">
        <f>IFERROR(IF(OR(NOT(ISNUMBER(Data!U22)),NOT(ISNUMBER(Data!V22)),NOT(ISNUMBER(Data!W22)),NOT(ISNUMBER(Data!X22)),NOT(ISNUMBER(Data!U23)),NOT(ISNUMBER(Data!V23)),NOT(ISNUMBER(Data!W23)),NOT(ISNUMBER(Data!X23))),"-",ABS((Data!U22+Data!V22+Data!W22+Data!X22))/ABS((Data!U23+Data!V23+Data!W23+Data!X23))),"-")</f>
        <v/>
      </c>
      <c r="Y15" s="461">
        <f>IFERROR(IF(OR(NOT(ISNUMBER(Data!V22)),NOT(ISNUMBER(Data!W22)),NOT(ISNUMBER(Data!X22)),NOT(ISNUMBER(Data!Y22)),NOT(ISNUMBER(Data!V23)),NOT(ISNUMBER(Data!W23)),NOT(ISNUMBER(Data!X23)),NOT(ISNUMBER(Data!Y23))),"-",ABS((Data!V22+Data!W22+Data!X22+Data!Y22))/ABS((Data!V23+Data!W23+Data!X23+Data!Y23))),"-")</f>
        <v/>
      </c>
    </row>
    <row r="16" ht="15" customHeight="1" s="74">
      <c r="A16" s="15" t="inlineStr">
        <is>
          <t>Debt / Equity</t>
        </is>
      </c>
      <c r="B16" s="92" t="n"/>
      <c r="C16" s="92">
        <f>IFERROR(IF(OR(NOT(ISNUMBER(Data!C35)),NOT(ISNUMBER(Data!C41))),"-",Data!C35/Data!C41),"-")</f>
        <v/>
      </c>
      <c r="D16" s="92">
        <f>IFERROR(IF(OR(NOT(ISNUMBER(Data!D35)),NOT(ISNUMBER(Data!D41))),"-",Data!D35/Data!D41),"-")</f>
        <v/>
      </c>
      <c r="E16" s="92">
        <f>IFERROR(IF(OR(NOT(ISNUMBER(Data!E35)),NOT(ISNUMBER(Data!E41))),"-",Data!E35/Data!E41),"-")</f>
        <v/>
      </c>
      <c r="F16" s="92">
        <f>IFERROR(IF(OR(NOT(ISNUMBER(Data!F35)),NOT(ISNUMBER(Data!F41))),"-",Data!F35/Data!F41),"-")</f>
        <v/>
      </c>
      <c r="G16" s="92">
        <f>IFERROR(IF(OR(NOT(ISNUMBER(Data!G35)),NOT(ISNUMBER(Data!G41))),"-",Data!G35/Data!G41),"-")</f>
        <v/>
      </c>
      <c r="H16" s="92">
        <f>IFERROR(IF(OR(NOT(ISNUMBER(Data!H35)),NOT(ISNUMBER(Data!H41))),"-",Data!H35/Data!H41),"-")</f>
        <v/>
      </c>
      <c r="I16" s="92">
        <f>IFERROR(IF(OR(NOT(ISNUMBER(Data!I35)),NOT(ISNUMBER(Data!I41))),"-",Data!I35/Data!I41),"-")</f>
        <v/>
      </c>
      <c r="J16" s="92">
        <f>IFERROR(IF(OR(NOT(ISNUMBER(Data!J35)),NOT(ISNUMBER(Data!J41))),"-",Data!J35/Data!J41),"-")</f>
        <v/>
      </c>
      <c r="K16" s="92">
        <f>IFERROR(IF(OR(NOT(ISNUMBER(Data!K35)),NOT(ISNUMBER(Data!K41))),"-",Data!K35/Data!K41),"-")</f>
        <v/>
      </c>
      <c r="L16" s="92">
        <f>IFERROR(IF(OR(NOT(ISNUMBER(Data!L35)),NOT(ISNUMBER(Data!L41))),"-",Data!L35/Data!L41),"-")</f>
        <v/>
      </c>
      <c r="M16" s="261" t="n"/>
      <c r="N16" s="245">
        <f>IFERROR(IF(OR(NOT(ISNUMBER(Data!N35)),NOT(ISNUMBER(Data!N41))),"-",Data!N35/Data!N41),"-")</f>
        <v/>
      </c>
      <c r="O16" s="245">
        <f>IFERROR(IF(OR(NOT(ISNUMBER(Data!O35)),NOT(ISNUMBER(Data!O41))),"-",Data!O35/Data!O41),"-")</f>
        <v/>
      </c>
      <c r="P16" s="245">
        <f>IFERROR(IF(OR(NOT(ISNUMBER(Data!P35)),NOT(ISNUMBER(Data!P41))),"-",Data!P35/Data!P41),"-")</f>
        <v/>
      </c>
      <c r="Q16" s="245">
        <f>IFERROR(IF(OR(NOT(ISNUMBER(Data!Q35)),NOT(ISNUMBER(Data!Q41))),"-",Data!Q35/Data!Q41),"-")</f>
        <v/>
      </c>
      <c r="R16" s="245">
        <f>IFERROR(IF(OR(NOT(ISNUMBER(Data!R35)),NOT(ISNUMBER(Data!R41))),"-",Data!R35/Data!R41),"-")</f>
        <v/>
      </c>
      <c r="S16" s="245">
        <f>IFERROR(IF(OR(NOT(ISNUMBER(Data!S35)),NOT(ISNUMBER(Data!S41))),"-",Data!S35/Data!S41),"-")</f>
        <v/>
      </c>
      <c r="T16" s="245">
        <f>IFERROR(IF(OR(NOT(ISNUMBER(Data!T35)),NOT(ISNUMBER(Data!T41))),"-",Data!T35/Data!T41),"-")</f>
        <v/>
      </c>
      <c r="U16" s="245">
        <f>IFERROR(IF(OR(NOT(ISNUMBER(Data!U35)),NOT(ISNUMBER(Data!U41))),"-",Data!U35/Data!U41),"-")</f>
        <v/>
      </c>
      <c r="V16" s="258">
        <f>IFERROR(IF(OR(NOT(ISNUMBER(Data!V35)),NOT(ISNUMBER(Data!V41))),"-",Data!V35/Data!V41),"-")</f>
        <v/>
      </c>
      <c r="W16" s="258">
        <f>IFERROR(IF(OR(NOT(ISNUMBER(Data!W35)),NOT(ISNUMBER(Data!W41))),"-",Data!W35/Data!W41),"-")</f>
        <v/>
      </c>
      <c r="X16" s="461">
        <f>IFERROR(IF(OR(NOT(ISNUMBER(Data!X35)),NOT(ISNUMBER(Data!X41))),"-",Data!X35/Data!X41),"-")</f>
        <v/>
      </c>
      <c r="Y16" s="461">
        <f>IFERROR(IF(OR(NOT(ISNUMBER(Data!Y35)),NOT(ISNUMBER(Data!Y41))),"-",Data!Y35/Data!Y41),"-")</f>
        <v/>
      </c>
    </row>
    <row r="17" ht="15" customHeight="1" s="74">
      <c r="A17" s="17" t="inlineStr">
        <is>
          <t>Current Ratio</t>
        </is>
      </c>
      <c r="B17" s="91" t="n"/>
      <c r="C17" s="91">
        <f>IFERROR(IF(OR(NOT(ISNUMBER(Data!C37)),NOT(ISNUMBER(Data!C38))),"-",Data!C37/Data!C38),"-")</f>
        <v/>
      </c>
      <c r="D17" s="91">
        <f>IFERROR(IF(OR(NOT(ISNUMBER(Data!D37)),NOT(ISNUMBER(Data!D38))),"-",Data!D37/Data!D38),"-")</f>
        <v/>
      </c>
      <c r="E17" s="91">
        <f>IFERROR(IF(OR(NOT(ISNUMBER(Data!E37)),NOT(ISNUMBER(Data!E38))),"-",Data!E37/Data!E38),"-")</f>
        <v/>
      </c>
      <c r="F17" s="91">
        <f>IFERROR(IF(OR(NOT(ISNUMBER(Data!F37)),NOT(ISNUMBER(Data!F38))),"-",Data!F37/Data!F38),"-")</f>
        <v/>
      </c>
      <c r="G17" s="91">
        <f>IFERROR(IF(OR(NOT(ISNUMBER(Data!G37)),NOT(ISNUMBER(Data!G38))),"-",Data!G37/Data!G38),"-")</f>
        <v/>
      </c>
      <c r="H17" s="91">
        <f>IFERROR(IF(OR(NOT(ISNUMBER(Data!H37)),NOT(ISNUMBER(Data!H38))),"-",Data!H37/Data!H38),"-")</f>
        <v/>
      </c>
      <c r="I17" s="91">
        <f>IFERROR(IF(OR(NOT(ISNUMBER(Data!I37)),NOT(ISNUMBER(Data!I38))),"-",Data!I37/Data!I38),"-")</f>
        <v/>
      </c>
      <c r="J17" s="91">
        <f>IFERROR(IF(OR(NOT(ISNUMBER(Data!J37)),NOT(ISNUMBER(Data!J38))),"-",Data!J37/Data!J38),"-")</f>
        <v/>
      </c>
      <c r="K17" s="91">
        <f>IFERROR(IF(OR(NOT(ISNUMBER(Data!K37)),NOT(ISNUMBER(Data!K38))),"-",Data!K37/Data!K38),"-")</f>
        <v/>
      </c>
      <c r="L17" s="91">
        <f>IFERROR(IF(OR(NOT(ISNUMBER(Data!L37)),NOT(ISNUMBER(Data!L38))),"-",Data!L37/Data!L38),"-")</f>
        <v/>
      </c>
      <c r="M17" s="261" t="n"/>
      <c r="N17" s="244">
        <f>IFERROR(IF(OR(NOT(ISNUMBER(Data!N37)),NOT(ISNUMBER(Data!N38))),"-",Data!N37/Data!N38),"-")</f>
        <v/>
      </c>
      <c r="O17" s="244">
        <f>IFERROR(IF(OR(NOT(ISNUMBER(Data!O37)),NOT(ISNUMBER(Data!O38))),"-",Data!O37/Data!O38),"-")</f>
        <v/>
      </c>
      <c r="P17" s="244">
        <f>IFERROR(IF(OR(NOT(ISNUMBER(Data!P37)),NOT(ISNUMBER(Data!P38))),"-",Data!P37/Data!P38),"-")</f>
        <v/>
      </c>
      <c r="Q17" s="244">
        <f>IFERROR(IF(OR(NOT(ISNUMBER(Data!Q37)),NOT(ISNUMBER(Data!Q38))),"-",Data!Q37/Data!Q38),"-")</f>
        <v/>
      </c>
      <c r="R17" s="244">
        <f>IFERROR(IF(OR(NOT(ISNUMBER(Data!R37)),NOT(ISNUMBER(Data!R38))),"-",Data!R37/Data!R38),"-")</f>
        <v/>
      </c>
      <c r="S17" s="244">
        <f>IFERROR(IF(OR(NOT(ISNUMBER(Data!S37)),NOT(ISNUMBER(Data!S38))),"-",Data!S37/Data!S38),"-")</f>
        <v/>
      </c>
      <c r="T17" s="244">
        <f>IFERROR(IF(OR(NOT(ISNUMBER(Data!T37)),NOT(ISNUMBER(Data!T38))),"-",Data!T37/Data!T38),"-")</f>
        <v/>
      </c>
      <c r="U17" s="244">
        <f>IFERROR(IF(OR(NOT(ISNUMBER(Data!U37)),NOT(ISNUMBER(Data!U38))),"-",Data!U37/Data!U38),"-")</f>
        <v/>
      </c>
      <c r="V17" s="256">
        <f>IFERROR(IF(OR(NOT(ISNUMBER(Data!V37)),NOT(ISNUMBER(Data!V38))),"-",Data!V37/Data!V38),"-")</f>
        <v/>
      </c>
      <c r="W17" s="256">
        <f>IFERROR(IF(OR(NOT(ISNUMBER(Data!W37)),NOT(ISNUMBER(Data!W38))),"-",Data!W37/Data!W38),"-")</f>
        <v/>
      </c>
      <c r="X17" s="461">
        <f>IFERROR(IF(OR(NOT(ISNUMBER(Data!X37)),NOT(ISNUMBER(Data!X38))),"-",Data!X37/Data!X38),"-")</f>
        <v/>
      </c>
      <c r="Y17" s="461">
        <f>IFERROR(IF(OR(NOT(ISNUMBER(Data!Y37)),NOT(ISNUMBER(Data!Y38))),"-",Data!Y37/Data!Y38),"-")</f>
        <v/>
      </c>
    </row>
    <row r="18" ht="15" customHeight="1" s="74">
      <c r="A18" s="15" t="inlineStr">
        <is>
          <t>Total Debt / EBITDA</t>
        </is>
      </c>
      <c r="B18" s="92" t="n"/>
      <c r="C18" s="92">
        <f>IFERROR(IF(OR(NOT(ISNUMBER(Data!C35)),NOT(ISNUMBER(Data!C20))),"-",Data!C35/Data!C20),"-")</f>
        <v/>
      </c>
      <c r="D18" s="92">
        <f>IFERROR(IF(OR(NOT(ISNUMBER(Data!D35)),NOT(ISNUMBER(Data!D20))),"-",Data!D35/Data!D20),"-")</f>
        <v/>
      </c>
      <c r="E18" s="92">
        <f>IFERROR(IF(OR(NOT(ISNUMBER(Data!E35)),NOT(ISNUMBER(Data!E20))),"-",Data!E35/Data!E20),"-")</f>
        <v/>
      </c>
      <c r="F18" s="92">
        <f>IFERROR(IF(OR(NOT(ISNUMBER(Data!F35)),NOT(ISNUMBER(Data!F20))),"-",Data!F35/Data!F20),"-")</f>
        <v/>
      </c>
      <c r="G18" s="92">
        <f>IFERROR(IF(OR(NOT(ISNUMBER(Data!G35)),NOT(ISNUMBER(Data!G20))),"-",Data!G35/Data!G20),"-")</f>
        <v/>
      </c>
      <c r="H18" s="92">
        <f>IFERROR(IF(OR(NOT(ISNUMBER(Data!H35)),NOT(ISNUMBER(Data!H20))),"-",Data!H35/Data!H20),"-")</f>
        <v/>
      </c>
      <c r="I18" s="92">
        <f>IFERROR(IF(OR(NOT(ISNUMBER(Data!I35)),NOT(ISNUMBER(Data!I20))),"-",Data!I35/Data!I20),"-")</f>
        <v/>
      </c>
      <c r="J18" s="92">
        <f>IFERROR(IF(OR(NOT(ISNUMBER(Data!J35)),NOT(ISNUMBER(Data!J20))),"-",Data!J35/Data!J20),"-")</f>
        <v/>
      </c>
      <c r="K18" s="92">
        <f>IFERROR(IF(OR(NOT(ISNUMBER(Data!K35)),NOT(ISNUMBER(Data!K20))),"-",Data!K35/Data!K20),"-")</f>
        <v/>
      </c>
      <c r="L18" s="92">
        <f>IFERROR(IF(OR(NOT(ISNUMBER(Data!L35)),NOT(ISNUMBER(Data!L20))),"-",Data!L35/Data!L20),"-")</f>
        <v/>
      </c>
      <c r="M18" s="261" t="n"/>
      <c r="N18" s="245" t="n"/>
      <c r="O18" s="245" t="n"/>
      <c r="P18" s="245" t="n"/>
      <c r="Q18" s="245">
        <f>IFERROR(IF(OR(NOT(ISNUMBER(Data!Q35)),NOT(ISNUMBER(Data!N20)),NOT(ISNUMBER(Data!O20)),NOT(ISNUMBER(Data!P20)),NOT(ISNUMBER(Data!Q20))),"-",Data!Q35/(Data!N20+Data!O20+Data!P20+Data!Q20)),"-")</f>
        <v/>
      </c>
      <c r="R18" s="245">
        <f>IFERROR(IF(OR(NOT(ISNUMBER(Data!R35)),NOT(ISNUMBER(Data!O20)),NOT(ISNUMBER(Data!P20)),NOT(ISNUMBER(Data!Q20)),NOT(ISNUMBER(Data!R20))),"-",Data!R35/(Data!O20+Data!P20+Data!Q20+Data!R20)),"-")</f>
        <v/>
      </c>
      <c r="S18" s="245">
        <f>IFERROR(IF(OR(NOT(ISNUMBER(Data!S35)),NOT(ISNUMBER(Data!P20)),NOT(ISNUMBER(Data!Q20)),NOT(ISNUMBER(Data!R20)),NOT(ISNUMBER(Data!S20))),"-",Data!S35/(Data!P20+Data!Q20+Data!R20+Data!S20)),"-")</f>
        <v/>
      </c>
      <c r="T18" s="245">
        <f>IFERROR(IF(OR(NOT(ISNUMBER(Data!T35)),NOT(ISNUMBER(Data!Q20)),NOT(ISNUMBER(Data!R20)),NOT(ISNUMBER(Data!S20)),NOT(ISNUMBER(Data!T20))),"-",Data!T35/(Data!Q20+Data!R20+Data!S20+Data!T20)),"-")</f>
        <v/>
      </c>
      <c r="U18" s="245">
        <f>IFERROR(IF(OR(NOT(ISNUMBER(Data!U35)),NOT(ISNUMBER(Data!R20)),NOT(ISNUMBER(Data!S20)),NOT(ISNUMBER(Data!T20)),NOT(ISNUMBER(Data!U20))),"-",Data!U35/(Data!R20+Data!S20+Data!T20+Data!U20)),"-")</f>
        <v/>
      </c>
      <c r="V18" s="258">
        <f>IFERROR(IF(OR(NOT(ISNUMBER(Data!V35)),NOT(ISNUMBER(Data!S20)),NOT(ISNUMBER(Data!T20)),NOT(ISNUMBER(Data!U20)),NOT(ISNUMBER(Data!V20))),"-",Data!V35/(Data!S20+Data!T20+Data!U20+Data!V20)),"-")</f>
        <v/>
      </c>
      <c r="W18" s="258">
        <f>IFERROR(IF(OR(NOT(ISNUMBER(Data!W35)),NOT(ISNUMBER(Data!T20)),NOT(ISNUMBER(Data!U20)),NOT(ISNUMBER(Data!V20)),NOT(ISNUMBER(Data!W20))),"-",Data!W35/(Data!T20+Data!U20+Data!V20+Data!W20)),"-")</f>
        <v/>
      </c>
      <c r="X18" s="461">
        <f>IFERROR(IF(OR(NOT(ISNUMBER(Data!X35)),NOT(ISNUMBER(Data!U20)),NOT(ISNUMBER(Data!V20)),NOT(ISNUMBER(Data!W20)),NOT(ISNUMBER(Data!X20))),"-",Data!X35/(Data!U20+Data!V20+Data!W20+Data!X20)),"-")</f>
        <v/>
      </c>
      <c r="Y18" s="461">
        <f>IFERROR(IF(OR(NOT(ISNUMBER(Data!Y35)),NOT(ISNUMBER(Data!V20)),NOT(ISNUMBER(Data!W20)),NOT(ISNUMBER(Data!X20)),NOT(ISNUMBER(Data!Y20))),"-",Data!Y35/(Data!V20+Data!W20+Data!X20+Data!Y20)),"-")</f>
        <v/>
      </c>
    </row>
    <row r="19">
      <c r="A19" s="2" t="n"/>
      <c r="B19" s="2" t="n"/>
      <c r="C19" s="2" t="n"/>
      <c r="D19" s="2" t="n"/>
      <c r="E19" s="2" t="n"/>
      <c r="F19" s="2" t="n"/>
      <c r="G19" s="2" t="n"/>
      <c r="H19" s="2" t="n"/>
      <c r="I19" s="2" t="n"/>
      <c r="J19" s="2" t="n"/>
      <c r="K19" s="2" t="n"/>
      <c r="L19" s="2" t="n"/>
      <c r="N19" s="2" t="n"/>
      <c r="O19" s="2" t="n"/>
      <c r="P19" s="2" t="n"/>
      <c r="Q19" s="2" t="n"/>
      <c r="R19" s="2" t="n"/>
      <c r="S19" s="2" t="n"/>
      <c r="T19" s="2" t="n"/>
      <c r="U19" s="2" t="n"/>
    </row>
    <row r="20" ht="19" customHeight="1" s="74">
      <c r="A20" s="226" t="inlineStr">
        <is>
          <t>GROWTH RATES (YoY)</t>
        </is>
      </c>
      <c r="V20" s="246" t="n"/>
      <c r="W20" s="246" t="n"/>
      <c r="X20" s="464" t="n"/>
      <c r="Y20" s="464" t="n"/>
    </row>
    <row r="21" ht="15" customHeight="1" s="74">
      <c r="A21" s="14" t="inlineStr">
        <is>
          <t>Period</t>
        </is>
      </c>
      <c r="B21" s="14">
        <f>Data!B13</f>
        <v/>
      </c>
      <c r="C21" s="14">
        <f>Data!C13</f>
        <v/>
      </c>
      <c r="D21" s="14">
        <f>Data!D13</f>
        <v/>
      </c>
      <c r="E21" s="14">
        <f>Data!E13</f>
        <v/>
      </c>
      <c r="F21" s="14">
        <f>Data!F13</f>
        <v/>
      </c>
      <c r="G21" s="14">
        <f>Data!G13</f>
        <v/>
      </c>
      <c r="H21" s="14">
        <f>Data!H13</f>
        <v/>
      </c>
      <c r="I21" s="14">
        <f>Data!I13</f>
        <v/>
      </c>
      <c r="J21" s="14">
        <f>Data!J13</f>
        <v/>
      </c>
      <c r="K21" s="14">
        <f>Data!K13</f>
        <v/>
      </c>
      <c r="L21" s="14">
        <f>Data!L13</f>
        <v/>
      </c>
      <c r="N21" s="265" t="n"/>
      <c r="O21" s="265" t="n"/>
      <c r="P21" s="265" t="n"/>
      <c r="Q21" s="265" t="n"/>
      <c r="R21" s="265" t="n"/>
      <c r="S21" s="265" t="n"/>
      <c r="T21" s="265" t="n"/>
      <c r="U21" s="265" t="n"/>
      <c r="V21" s="265" t="n"/>
      <c r="W21" s="265" t="n"/>
      <c r="X21" s="265" t="n"/>
      <c r="Y21" s="265" t="n"/>
    </row>
    <row r="22" ht="15" customHeight="1" s="74">
      <c r="A22" s="15" t="inlineStr">
        <is>
          <t>Revenue Growth</t>
        </is>
      </c>
      <c r="B22" s="89" t="n"/>
      <c r="C22" s="89">
        <f>IFERROR(IF(OR(NOT(ISNUMBER(Data!C14)),NOT(ISNUMBER(Data!B14))),"-",(Data!C14-Data!B14)/ABS(Data!B14)),"-")</f>
        <v/>
      </c>
      <c r="D22" s="89">
        <f>IFERROR(IF(OR(NOT(ISNUMBER(Data!D14)),NOT(ISNUMBER(Data!C14))),"-",(Data!D14-Data!C14)/ABS(Data!C14)),"-")</f>
        <v/>
      </c>
      <c r="E22" s="89">
        <f>IFERROR(IF(OR(NOT(ISNUMBER(Data!E14)),NOT(ISNUMBER(Data!D14))),"-",(Data!E14-Data!D14)/ABS(Data!D14)),"-")</f>
        <v/>
      </c>
      <c r="F22" s="89">
        <f>IFERROR(IF(OR(NOT(ISNUMBER(Data!F14)),NOT(ISNUMBER(Data!E14))),"-",(Data!F14-Data!E14)/ABS(Data!E14)),"-")</f>
        <v/>
      </c>
      <c r="G22" s="89">
        <f>IFERROR(IF(OR(NOT(ISNUMBER(Data!G14)),NOT(ISNUMBER(Data!F14))),"-",(Data!G14-Data!F14)/ABS(Data!F14)),"-")</f>
        <v/>
      </c>
      <c r="H22" s="89">
        <f>IFERROR(IF(OR(NOT(ISNUMBER(Data!H14)),NOT(ISNUMBER(Data!G14))),"-",(Data!H14-Data!G14)/ABS(Data!G14)),"-")</f>
        <v/>
      </c>
      <c r="I22" s="89">
        <f>IFERROR(IF(OR(NOT(ISNUMBER(Data!I14)),NOT(ISNUMBER(Data!H14))),"-",(Data!I14-Data!H14)/ABS(Data!H14)),"-")</f>
        <v/>
      </c>
      <c r="J22" s="89">
        <f>IFERROR(IF(OR(NOT(ISNUMBER(Data!J14)),NOT(ISNUMBER(Data!I14))),"-",(Data!J14-Data!I14)/ABS(Data!I14)),"-")</f>
        <v/>
      </c>
      <c r="K22" s="89">
        <f>IFERROR(IF(OR(NOT(ISNUMBER(Data!K14)),NOT(ISNUMBER(Data!J14))),"-",(Data!K14-Data!J14)/ABS(Data!J14)),"-")</f>
        <v/>
      </c>
      <c r="L22" s="89">
        <f>IFERROR(IF(OR(NOT(ISNUMBER(Data!L14)),NOT(ISNUMBER(Data!K14))),"-",(Data!L14-Data!K14)/ABS(Data!K14)),"-")</f>
        <v/>
      </c>
      <c r="M22" s="261" t="n"/>
      <c r="N22" s="266" t="n"/>
      <c r="O22" s="266" t="n"/>
      <c r="P22" s="266" t="n"/>
      <c r="Q22" s="266" t="n"/>
      <c r="R22" s="266" t="n"/>
      <c r="S22" s="266" t="n"/>
      <c r="T22" s="266" t="n"/>
      <c r="U22" s="266" t="n"/>
      <c r="V22" s="261" t="n"/>
      <c r="W22" s="261" t="n"/>
      <c r="X22" s="465" t="n"/>
      <c r="Y22" s="465" t="n"/>
    </row>
    <row r="23" ht="15" customHeight="1" s="74">
      <c r="A23" s="17" t="inlineStr">
        <is>
          <t>EBITDA Growth</t>
        </is>
      </c>
      <c r="B23" s="90" t="n"/>
      <c r="C23" s="90">
        <f>IFERROR(IF(OR(NOT(ISNUMBER(Data!C20)),NOT(ISNUMBER(Data!B20))),"-",(Data!C20-Data!B20)/ABS(Data!B20)),"-")</f>
        <v/>
      </c>
      <c r="D23" s="90">
        <f>IFERROR(IF(OR(NOT(ISNUMBER(Data!D20)),NOT(ISNUMBER(Data!C20))),"-",(Data!D20-Data!C20)/ABS(Data!C20)),"-")</f>
        <v/>
      </c>
      <c r="E23" s="90">
        <f>IFERROR(IF(OR(NOT(ISNUMBER(Data!E20)),NOT(ISNUMBER(Data!D20))),"-",(Data!E20-Data!D20)/ABS(Data!D20)),"-")</f>
        <v/>
      </c>
      <c r="F23" s="90">
        <f>IFERROR(IF(OR(NOT(ISNUMBER(Data!F20)),NOT(ISNUMBER(Data!E20))),"-",(Data!F20-Data!E20)/ABS(Data!E20)),"-")</f>
        <v/>
      </c>
      <c r="G23" s="90">
        <f>IFERROR(IF(OR(NOT(ISNUMBER(Data!G20)),NOT(ISNUMBER(Data!F20))),"-",(Data!G20-Data!F20)/ABS(Data!F20)),"-")</f>
        <v/>
      </c>
      <c r="H23" s="90">
        <f>IFERROR(IF(OR(NOT(ISNUMBER(Data!H20)),NOT(ISNUMBER(Data!G20))),"-",(Data!H20-Data!G20)/ABS(Data!G20)),"-")</f>
        <v/>
      </c>
      <c r="I23" s="90">
        <f>IFERROR(IF(OR(NOT(ISNUMBER(Data!I20)),NOT(ISNUMBER(Data!H20))),"-",(Data!I20-Data!H20)/ABS(Data!H20)),"-")</f>
        <v/>
      </c>
      <c r="J23" s="90">
        <f>IFERROR(IF(OR(NOT(ISNUMBER(Data!J20)),NOT(ISNUMBER(Data!I20))),"-",(Data!J20-Data!I20)/ABS(Data!I20)),"-")</f>
        <v/>
      </c>
      <c r="K23" s="90">
        <f>IFERROR(IF(OR(NOT(ISNUMBER(Data!K20)),NOT(ISNUMBER(Data!J20))),"-",(Data!K20-Data!J20)/ABS(Data!J20)),"-")</f>
        <v/>
      </c>
      <c r="L23" s="90">
        <f>IFERROR(IF(OR(NOT(ISNUMBER(Data!L20)),NOT(ISNUMBER(Data!K20))),"-",(Data!L20-Data!K20)/ABS(Data!K20)),"-")</f>
        <v/>
      </c>
      <c r="M23" s="261" t="n"/>
      <c r="N23" s="266" t="n"/>
      <c r="O23" s="266" t="n"/>
      <c r="P23" s="266" t="n"/>
      <c r="Q23" s="266" t="n"/>
      <c r="R23" s="266" t="n"/>
      <c r="S23" s="266" t="n"/>
      <c r="T23" s="266" t="n"/>
      <c r="U23" s="266" t="n"/>
      <c r="V23" s="261" t="n"/>
      <c r="W23" s="261" t="n"/>
      <c r="X23" s="465" t="n"/>
      <c r="Y23" s="465" t="n"/>
    </row>
    <row r="24" ht="15" customHeight="1" s="74">
      <c r="A24" s="15" t="inlineStr">
        <is>
          <t>EPS Growth</t>
        </is>
      </c>
      <c r="B24" s="89" t="n"/>
      <c r="C24" s="89">
        <f>IFERROR(IF(OR(NOT(ISNUMBER(Data!C27)),NOT(ISNUMBER(Data!B27))),"-",((Data!C27/20)-(Data!B27/20))/ABS((Data!B27/20))),"-")</f>
        <v/>
      </c>
      <c r="D24" s="89">
        <f>IFERROR(IF(OR(NOT(ISNUMBER(Data!D27)),NOT(ISNUMBER(Data!C27))),"-",((Data!D27/20)-(Data!C27/20))/ABS((Data!C27/20))),"-")</f>
        <v/>
      </c>
      <c r="E24" s="89">
        <f>IFERROR(IF(OR(NOT(ISNUMBER(Data!E27)),NOT(ISNUMBER(Data!D27))),"-",((Data!E27/20)-(Data!D27/20))/ABS((Data!D27/20))),"-")</f>
        <v/>
      </c>
      <c r="F24" s="89">
        <f>IFERROR(IF(OR(NOT(ISNUMBER(Data!F27)),NOT(ISNUMBER(Data!E27))),"-",((Data!F27/20)-(Data!E27/20))/ABS((Data!E27/20))),"-")</f>
        <v/>
      </c>
      <c r="G24" s="89">
        <f>IFERROR(IF(OR(NOT(ISNUMBER(Data!G27)),NOT(ISNUMBER(Data!F27))),"-",((Data!G27/20)-(Data!F27/20))/ABS((Data!F27/20))),"-")</f>
        <v/>
      </c>
      <c r="H24" s="89">
        <f>IFERROR(IF(OR(NOT(ISNUMBER(Data!H27)),NOT(ISNUMBER(Data!G27))),"-",((Data!H27/20)-(Data!G27/20))/ABS((Data!G27/20))),"-")</f>
        <v/>
      </c>
      <c r="I24" s="89">
        <f>IFERROR(IF(OR(NOT(ISNUMBER(Data!I27)),NOT(ISNUMBER(Data!H27))),"-",(Data!I27-(Data!H27/20))/ABS((Data!H27/20))),"-")</f>
        <v/>
      </c>
      <c r="J24" s="89">
        <f>IFERROR(IF(OR(NOT(ISNUMBER(Data!J27)),NOT(ISNUMBER(Data!I27))),"-",(Data!J27-Data!I27)/ABS(Data!I27)),"-")</f>
        <v/>
      </c>
      <c r="K24" s="89">
        <f>IFERROR(IF(OR(NOT(ISNUMBER(Data!K27)),NOT(ISNUMBER(Data!J27))),"-",(Data!K27-Data!J27)/ABS(Data!J27)),"-")</f>
        <v/>
      </c>
      <c r="L24" s="89">
        <f>IFERROR(IF(OR(NOT(ISNUMBER(Data!L27)),NOT(ISNUMBER(Data!K27))),"-",(Data!L27-Data!K27)/ABS(Data!K27)),"-")</f>
        <v/>
      </c>
      <c r="M24" s="261" t="n"/>
      <c r="N24" s="266" t="n"/>
      <c r="O24" s="266" t="n"/>
      <c r="P24" s="266" t="n"/>
      <c r="Q24" s="266" t="n"/>
      <c r="R24" s="266" t="n"/>
      <c r="S24" s="266" t="n"/>
      <c r="T24" s="266" t="n"/>
      <c r="U24" s="266" t="n"/>
      <c r="V24" s="261" t="n"/>
      <c r="W24" s="261" t="n"/>
      <c r="X24" s="465" t="n"/>
      <c r="Y24" s="465" t="n"/>
    </row>
    <row r="25" ht="15" customHeight="1" s="74">
      <c r="A25" s="17" t="inlineStr">
        <is>
          <t>Net Income Growth</t>
        </is>
      </c>
      <c r="B25" s="90" t="n"/>
      <c r="C25" s="90">
        <f>IFERROR(IF(OR(NOT(ISNUMBER(Data!C26)),NOT(ISNUMBER(Data!B26))),"-",(Data!C26-Data!B26)/ABS(Data!B26)),"-")</f>
        <v/>
      </c>
      <c r="D25" s="90">
        <f>IFERROR(IF(OR(NOT(ISNUMBER(Data!D26)),NOT(ISNUMBER(Data!C26))),"-",(Data!D26-Data!C26)/ABS(Data!C26)),"-")</f>
        <v/>
      </c>
      <c r="E25" s="90">
        <f>IFERROR(IF(OR(NOT(ISNUMBER(Data!E26)),NOT(ISNUMBER(Data!D26))),"-",(Data!E26-Data!D26)/ABS(Data!D26)),"-")</f>
        <v/>
      </c>
      <c r="F25" s="90">
        <f>IFERROR(IF(OR(NOT(ISNUMBER(Data!F26)),NOT(ISNUMBER(Data!E26))),"-",(Data!F26-Data!E26)/ABS(Data!E26)),"-")</f>
        <v/>
      </c>
      <c r="G25" s="90">
        <f>IFERROR(IF(OR(NOT(ISNUMBER(Data!G26)),NOT(ISNUMBER(Data!F26))),"-",(Data!G26-Data!F26)/ABS(Data!F26)),"-")</f>
        <v/>
      </c>
      <c r="H25" s="90">
        <f>IFERROR(IF(OR(NOT(ISNUMBER(Data!H26)),NOT(ISNUMBER(Data!G26))),"-",(Data!H26-Data!G26)/ABS(Data!G26)),"-")</f>
        <v/>
      </c>
      <c r="I25" s="90">
        <f>IFERROR(IF(OR(NOT(ISNUMBER(Data!I26)),NOT(ISNUMBER(Data!H26))),"-",(Data!I26-Data!H26)/ABS(Data!H26)),"-")</f>
        <v/>
      </c>
      <c r="J25" s="90">
        <f>IFERROR(IF(OR(NOT(ISNUMBER(Data!J26)),NOT(ISNUMBER(Data!I26))),"-",(Data!J26-Data!I26)/ABS(Data!I26)),"-")</f>
        <v/>
      </c>
      <c r="K25" s="90">
        <f>IFERROR(IF(OR(NOT(ISNUMBER(Data!K26)),NOT(ISNUMBER(Data!J26))),"-",(Data!K26-Data!J26)/ABS(Data!J26)),"-")</f>
        <v/>
      </c>
      <c r="L25" s="90">
        <f>IFERROR(IF(OR(NOT(ISNUMBER(Data!L26)),NOT(ISNUMBER(Data!K26))),"-",(Data!L26-Data!K26)/ABS(Data!K26)),"-")</f>
        <v/>
      </c>
      <c r="M25" s="261" t="n"/>
      <c r="N25" s="266" t="n"/>
      <c r="O25" s="266" t="n"/>
      <c r="P25" s="266" t="n"/>
      <c r="Q25" s="266" t="n"/>
      <c r="R25" s="266" t="n"/>
      <c r="S25" s="266" t="n"/>
      <c r="T25" s="266" t="n"/>
      <c r="U25" s="266" t="n"/>
      <c r="V25" s="261" t="n"/>
      <c r="W25" s="261" t="n"/>
      <c r="X25" s="465" t="n"/>
      <c r="Y25" s="465" t="n"/>
    </row>
    <row r="26" ht="15" customHeight="1" s="74">
      <c r="A26" s="15" t="inlineStr">
        <is>
          <t>FCF Growth</t>
        </is>
      </c>
      <c r="B26" s="89" t="n"/>
      <c r="C26" s="89">
        <f>IFERROR(IF(OR(NOT(ISNUMBER(Data!C53)),NOT(ISNUMBER(Data!B53))),"-",(Data!C53-Data!B53)/ABS(Data!B53)),"-")</f>
        <v/>
      </c>
      <c r="D26" s="89">
        <f>IFERROR(IF(OR(NOT(ISNUMBER(Data!D53)),NOT(ISNUMBER(Data!C53))),"-",(Data!D53-Data!C53)/ABS(Data!C53)),"-")</f>
        <v/>
      </c>
      <c r="E26" s="89">
        <f>IFERROR(IF(OR(NOT(ISNUMBER(Data!E53)),NOT(ISNUMBER(Data!D53))),"-",(Data!E53-Data!D53)/ABS(Data!D53)),"-")</f>
        <v/>
      </c>
      <c r="F26" s="89">
        <f>IFERROR(IF(OR(NOT(ISNUMBER(Data!F53)),NOT(ISNUMBER(Data!E53))),"-",(Data!F53-Data!E53)/ABS(Data!E53)),"-")</f>
        <v/>
      </c>
      <c r="G26" s="89">
        <f>IFERROR(IF(OR(NOT(ISNUMBER(Data!G53)),NOT(ISNUMBER(Data!F53))),"-",(Data!G53-Data!F53)/ABS(Data!F53)),"-")</f>
        <v/>
      </c>
      <c r="H26" s="89">
        <f>IFERROR(IF(OR(NOT(ISNUMBER(Data!H53)),NOT(ISNUMBER(Data!G53))),"-",(Data!H53-Data!G53)/ABS(Data!G53)),"-")</f>
        <v/>
      </c>
      <c r="I26" s="89">
        <f>IFERROR(IF(OR(NOT(ISNUMBER(Data!I53)),NOT(ISNUMBER(Data!H53))),"-",(Data!I53-Data!H53)/ABS(Data!H53)),"-")</f>
        <v/>
      </c>
      <c r="J26" s="89">
        <f>IFERROR(IF(OR(NOT(ISNUMBER(Data!J53)),NOT(ISNUMBER(Data!I53))),"-",(Data!J53-Data!I53)/ABS(Data!I53)),"-")</f>
        <v/>
      </c>
      <c r="K26" s="89">
        <f>IFERROR(IF(OR(NOT(ISNUMBER(Data!K53)),NOT(ISNUMBER(Data!J53))),"-",(Data!K53-Data!J53)/ABS(Data!J53)),"-")</f>
        <v/>
      </c>
      <c r="L26" s="89">
        <f>IFERROR(IF(OR(NOT(ISNUMBER(Data!L53)),NOT(ISNUMBER(Data!K53))),"-",(Data!L53-Data!K53)/ABS(Data!K53)),"-")</f>
        <v/>
      </c>
      <c r="M26" s="261" t="n"/>
      <c r="N26" s="266" t="n"/>
      <c r="O26" s="266" t="n"/>
      <c r="P26" s="266" t="n"/>
      <c r="Q26" s="266" t="n"/>
      <c r="R26" s="266" t="n"/>
      <c r="S26" s="266" t="n"/>
      <c r="T26" s="266" t="n"/>
      <c r="U26" s="266" t="n"/>
      <c r="V26" s="261" t="n"/>
      <c r="W26" s="261" t="n"/>
      <c r="X26" s="465" t="n"/>
      <c r="Y26" s="465" t="n"/>
    </row>
    <row r="27">
      <c r="A27" s="2" t="inlineStr">
        <is>
          <t>Diluted Shares (split-adj, M)</t>
        </is>
      </c>
      <c r="B27" s="2" t="n"/>
      <c r="C27" s="2">
        <f>IFERROR(IF(OR(NOT(ISNUMBER(Data!C28))),"-",(Data!C28*20)),"-")</f>
        <v/>
      </c>
      <c r="D27" s="2">
        <f>IFERROR(IF(OR(NOT(ISNUMBER(Data!D28))),"-",(Data!D28*20)),"-")</f>
        <v/>
      </c>
      <c r="E27" s="2">
        <f>IFERROR(IF(OR(NOT(ISNUMBER(Data!E28))),"-",(Data!E28*20)),"-")</f>
        <v/>
      </c>
      <c r="F27" s="2">
        <f>IFERROR(IF(OR(NOT(ISNUMBER(Data!F28))),"-",(Data!F28*20)),"-")</f>
        <v/>
      </c>
      <c r="G27" s="2">
        <f>IFERROR(IF(OR(NOT(ISNUMBER(Data!G28))),"-",(Data!G28*20)),"-")</f>
        <v/>
      </c>
      <c r="H27" s="2">
        <f>IFERROR(IF(OR(NOT(ISNUMBER(Data!H28))),"-",(Data!H28*20)),"-")</f>
        <v/>
      </c>
      <c r="I27" s="2">
        <f>IFERROR(IF(OR(NOT(ISNUMBER(Data!I28))),"-",Data!I28),"-")</f>
        <v/>
      </c>
      <c r="J27" s="2">
        <f>IFERROR(IF(OR(NOT(ISNUMBER(Data!J28))),"-",Data!J28),"-")</f>
        <v/>
      </c>
      <c r="K27" s="2">
        <f>IFERROR(IF(OR(NOT(ISNUMBER(Data!K28))),"-",Data!K28),"-")</f>
        <v/>
      </c>
      <c r="L27" s="2">
        <f>IFERROR(IF(OR(NOT(ISNUMBER(Data!L28))),"-",Data!L28),"-")</f>
        <v/>
      </c>
      <c r="M27" s="261" t="n"/>
      <c r="N27" s="272" t="n"/>
      <c r="O27" s="272" t="n"/>
      <c r="P27" s="272" t="n"/>
      <c r="Q27" s="272" t="n"/>
      <c r="R27" s="272" t="n"/>
      <c r="S27" s="272" t="n"/>
      <c r="T27" s="272" t="n"/>
      <c r="U27" s="272" t="n"/>
      <c r="V27" s="261" t="n"/>
      <c r="W27" s="261" t="n"/>
      <c r="X27" s="465" t="n"/>
      <c r="Y27" s="465" t="n"/>
    </row>
    <row r="28" ht="19" customHeight="1" s="74">
      <c r="A28" s="226" t="inlineStr">
        <is>
          <t>PER SHARE METRICS</t>
        </is>
      </c>
    </row>
    <row r="29" ht="28" customHeight="1" s="74">
      <c r="A29" s="14" t="inlineStr">
        <is>
          <t>Period</t>
        </is>
      </c>
      <c r="B29" s="14">
        <f>Data!B13</f>
        <v/>
      </c>
      <c r="C29" s="14">
        <f>Data!C13</f>
        <v/>
      </c>
      <c r="D29" s="14">
        <f>Data!D13</f>
        <v/>
      </c>
      <c r="E29" s="14">
        <f>Data!E13</f>
        <v/>
      </c>
      <c r="F29" s="14">
        <f>Data!F13</f>
        <v/>
      </c>
      <c r="G29" s="14">
        <f>Data!G13</f>
        <v/>
      </c>
      <c r="H29" s="14">
        <f>Data!H13</f>
        <v/>
      </c>
      <c r="I29" s="14">
        <f>Data!I13</f>
        <v/>
      </c>
      <c r="J29" s="14">
        <f>Data!J13</f>
        <v/>
      </c>
      <c r="K29" s="14">
        <f>Data!K13</f>
        <v/>
      </c>
      <c r="L29" s="14">
        <f>Data!L13</f>
        <v/>
      </c>
      <c r="N29" s="267" t="inlineStr">
        <is>
          <t>Year -2
Q1</t>
        </is>
      </c>
      <c r="O29" s="267" t="inlineStr">
        <is>
          <t>Year -2
Q2</t>
        </is>
      </c>
      <c r="P29" s="267" t="inlineStr">
        <is>
          <t>Year -2
Q3</t>
        </is>
      </c>
      <c r="Q29" s="267" t="inlineStr">
        <is>
          <t>Year -2
Q4</t>
        </is>
      </c>
      <c r="R29" s="267" t="inlineStr">
        <is>
          <t>Year -1
Q1</t>
        </is>
      </c>
      <c r="S29" s="267" t="inlineStr">
        <is>
          <t>Year -1
Q2</t>
        </is>
      </c>
      <c r="T29" s="267" t="inlineStr">
        <is>
          <t>Year -1
Q3</t>
        </is>
      </c>
      <c r="U29" s="267" t="inlineStr">
        <is>
          <t>Year -1
Q4</t>
        </is>
      </c>
      <c r="V29" s="267" t="inlineStr">
        <is>
          <t>Current Year
Q1</t>
        </is>
      </c>
      <c r="W29" s="267" t="inlineStr">
        <is>
          <t>Current Year
Q2</t>
        </is>
      </c>
      <c r="X29" s="267" t="inlineStr">
        <is>
          <t>Current Year
Q3</t>
        </is>
      </c>
      <c r="Y29" s="267" t="inlineStr">
        <is>
          <t>Current Year
Q4</t>
        </is>
      </c>
    </row>
    <row r="30" ht="15" customHeight="1" s="74">
      <c r="A30" s="15" t="inlineStr">
        <is>
          <t>Book Value / Share</t>
        </is>
      </c>
      <c r="B30" s="21" t="n"/>
      <c r="C30" s="21">
        <f>IFERROR(IF(OR(NOT(ISNUMBER(Data!C41)),NOT(ISNUMBER(Data!C28))),"-",Data!C41/(Data!C28*20)),"-")</f>
        <v/>
      </c>
      <c r="D30" s="21">
        <f>IFERROR(IF(OR(NOT(ISNUMBER(Data!D41)),NOT(ISNUMBER(Data!D28))),"-",Data!D41/(Data!D28*20)),"-")</f>
        <v/>
      </c>
      <c r="E30" s="21">
        <f>IFERROR(IF(OR(NOT(ISNUMBER(Data!E41)),NOT(ISNUMBER(Data!E28))),"-",Data!E41/(Data!E28*20)),"-")</f>
        <v/>
      </c>
      <c r="F30" s="21">
        <f>IFERROR(IF(OR(NOT(ISNUMBER(Data!F41)),NOT(ISNUMBER(Data!F28))),"-",Data!F41/(Data!F28*20)),"-")</f>
        <v/>
      </c>
      <c r="G30" s="21">
        <f>IFERROR(IF(OR(NOT(ISNUMBER(Data!G41)),NOT(ISNUMBER(Data!G28))),"-",Data!G41/(Data!G28*20)),"-")</f>
        <v/>
      </c>
      <c r="H30" s="21">
        <f>IFERROR(IF(OR(NOT(ISNUMBER(Data!H41)),NOT(ISNUMBER(Data!H28))),"-",Data!H41/(Data!H28*20)),"-")</f>
        <v/>
      </c>
      <c r="I30" s="21">
        <f>IFERROR(IF(OR(NOT(ISNUMBER(Data!I41)),NOT(ISNUMBER(Data!I28))),"-",Data!I41/Data!I28),"-")</f>
        <v/>
      </c>
      <c r="J30" s="21">
        <f>IFERROR(IF(OR(NOT(ISNUMBER(Data!J41)),NOT(ISNUMBER(Data!J28))),"-",Data!J41/Data!J28),"-")</f>
        <v/>
      </c>
      <c r="K30" s="21">
        <f>IFERROR(IF(OR(NOT(ISNUMBER(Data!K41)),NOT(ISNUMBER(Data!K28))),"-",Data!K41/Data!K28),"-")</f>
        <v/>
      </c>
      <c r="L30" s="21">
        <f>IFERROR(IF(OR(NOT(ISNUMBER(Data!L41)),NOT(ISNUMBER(Data!L28))),"-",Data!L41/Data!L28),"-")</f>
        <v/>
      </c>
      <c r="M30" s="261" t="n"/>
      <c r="N30" s="247">
        <f>IFERROR(IF(OR(NOT(ISNUMBER(Data!N41)),NOT(ISNUMBER(Data!N28))),"-",Data!N41/Data!N28),"-")</f>
        <v/>
      </c>
      <c r="O30" s="247">
        <f>IFERROR(IF(OR(NOT(ISNUMBER(Data!O41)),NOT(ISNUMBER(Data!O28))),"-",Data!O41/Data!O28),"-")</f>
        <v/>
      </c>
      <c r="P30" s="247">
        <f>IFERROR(IF(OR(NOT(ISNUMBER(Data!P41)),NOT(ISNUMBER(Data!P28))),"-",Data!P41/Data!P28),"-")</f>
        <v/>
      </c>
      <c r="Q30" s="247">
        <f>IFERROR(IF(OR(NOT(ISNUMBER(Data!Q41)),NOT(ISNUMBER(Data!Q28))),"-",Data!Q41/Data!Q28),"-")</f>
        <v/>
      </c>
      <c r="R30" s="247">
        <f>IFERROR(IF(OR(NOT(ISNUMBER(Data!R41)),NOT(ISNUMBER(Data!R28))),"-",Data!R41/Data!R28),"-")</f>
        <v/>
      </c>
      <c r="S30" s="247">
        <f>IFERROR(IF(OR(NOT(ISNUMBER(Data!S41)),NOT(ISNUMBER(Data!S28))),"-",Data!S41/Data!S28),"-")</f>
        <v/>
      </c>
      <c r="T30" s="247">
        <f>IFERROR(IF(OR(NOT(ISNUMBER(Data!T41)),NOT(ISNUMBER(Data!T28))),"-",Data!T41/Data!T28),"-")</f>
        <v/>
      </c>
      <c r="U30" s="247">
        <f>IFERROR(IF(OR(NOT(ISNUMBER(Data!U41)),NOT(ISNUMBER(Data!U28))),"-",Data!U41/Data!U28),"-")</f>
        <v/>
      </c>
      <c r="V30" s="258">
        <f>IFERROR(IF(OR(NOT(ISNUMBER(Data!V41)),NOT(ISNUMBER(Data!V28))),"-",Data!V41/Data!V28),"-")</f>
        <v/>
      </c>
      <c r="W30" s="258">
        <f>IFERROR(IF(OR(NOT(ISNUMBER(Data!W41)),NOT(ISNUMBER(Data!W28))),"-",Data!W41/Data!W28),"-")</f>
        <v/>
      </c>
      <c r="X30" s="461">
        <f>IFERROR(IF(OR(NOT(ISNUMBER(Data!X41)),NOT(ISNUMBER(Data!X28))),"-",Data!X41/Data!X28),"-")</f>
        <v/>
      </c>
      <c r="Y30" s="461">
        <f>IFERROR(IF(OR(NOT(ISNUMBER(Data!Y41)),NOT(ISNUMBER(Data!Y28))),"-",Data!Y41/Data!Y28),"-")</f>
        <v/>
      </c>
    </row>
    <row r="31" ht="15" customHeight="1" s="74">
      <c r="A31" s="17" t="inlineStr">
        <is>
          <t>FCF / Share</t>
        </is>
      </c>
      <c r="B31" s="22" t="n"/>
      <c r="C31" s="22">
        <f>IFERROR(IF(OR(NOT(ISNUMBER(Data!C53)),NOT(ISNUMBER(Data!C28))),"-",Data!C53/(Data!C28*20)),"-")</f>
        <v/>
      </c>
      <c r="D31" s="22">
        <f>IFERROR(IF(OR(NOT(ISNUMBER(Data!D53)),NOT(ISNUMBER(Data!D28))),"-",Data!D53/(Data!D28*20)),"-")</f>
        <v/>
      </c>
      <c r="E31" s="22">
        <f>IFERROR(IF(OR(NOT(ISNUMBER(Data!E53)),NOT(ISNUMBER(Data!E28))),"-",Data!E53/(Data!E28*20)),"-")</f>
        <v/>
      </c>
      <c r="F31" s="22">
        <f>IFERROR(IF(OR(NOT(ISNUMBER(Data!F53)),NOT(ISNUMBER(Data!F28))),"-",Data!F53/(Data!F28*20)),"-")</f>
        <v/>
      </c>
      <c r="G31" s="22">
        <f>IFERROR(IF(OR(NOT(ISNUMBER(Data!G53)),NOT(ISNUMBER(Data!G28))),"-",Data!G53/(Data!G28*20)),"-")</f>
        <v/>
      </c>
      <c r="H31" s="22">
        <f>IFERROR(IF(OR(NOT(ISNUMBER(Data!H53)),NOT(ISNUMBER(Data!H28))),"-",Data!H53/(Data!H28*20)),"-")</f>
        <v/>
      </c>
      <c r="I31" s="22">
        <f>IFERROR(IF(OR(NOT(ISNUMBER(Data!I53)),NOT(ISNUMBER(Data!I28))),"-",Data!I53/Data!I28),"-")</f>
        <v/>
      </c>
      <c r="J31" s="22">
        <f>IFERROR(IF(OR(NOT(ISNUMBER(Data!J53)),NOT(ISNUMBER(Data!J28))),"-",Data!J53/Data!J28),"-")</f>
        <v/>
      </c>
      <c r="K31" s="22">
        <f>IFERROR(IF(OR(NOT(ISNUMBER(Data!K53)),NOT(ISNUMBER(Data!K28))),"-",Data!K53/Data!K28),"-")</f>
        <v/>
      </c>
      <c r="L31" s="22">
        <f>IFERROR(IF(OR(NOT(ISNUMBER(Data!L53)),NOT(ISNUMBER(Data!L28))),"-",Data!L53/Data!L28),"-")</f>
        <v/>
      </c>
      <c r="M31" s="261" t="n"/>
      <c r="N31" s="248" t="n"/>
      <c r="O31" s="248" t="n"/>
      <c r="P31" s="248" t="n"/>
      <c r="Q31" s="248">
        <f>IFERROR(IF(OR(NOT(ISNUMBER(Data!N53)),NOT(ISNUMBER(Data!O53)),NOT(ISNUMBER(Data!P53)),NOT(ISNUMBER(Data!Q53)),NOT(ISNUMBER(Data!Q28))),"-",(Data!N53+Data!O53+Data!P53+Data!Q53)/Data!Q28),"-")</f>
        <v/>
      </c>
      <c r="R31" s="248">
        <f>IFERROR(IF(OR(NOT(ISNUMBER(Data!O53)),NOT(ISNUMBER(Data!P53)),NOT(ISNUMBER(Data!Q53)),NOT(ISNUMBER(Data!R53)),NOT(ISNUMBER(Data!R28))),"-",(Data!O53+Data!P53+Data!Q53+Data!R53)/Data!R28),"-")</f>
        <v/>
      </c>
      <c r="S31" s="248">
        <f>IFERROR(IF(OR(NOT(ISNUMBER(Data!P53)),NOT(ISNUMBER(Data!Q53)),NOT(ISNUMBER(Data!R53)),NOT(ISNUMBER(Data!S53)),NOT(ISNUMBER(Data!S28))),"-",(Data!P53+Data!Q53+Data!R53+Data!S53)/Data!S28),"-")</f>
        <v/>
      </c>
      <c r="T31" s="248">
        <f>IFERROR(IF(OR(NOT(ISNUMBER(Data!Q53)),NOT(ISNUMBER(Data!R53)),NOT(ISNUMBER(Data!S53)),NOT(ISNUMBER(Data!T53)),NOT(ISNUMBER(Data!T28))),"-",(Data!Q53+Data!R53+Data!S53+Data!T53)/Data!T28),"-")</f>
        <v/>
      </c>
      <c r="U31" s="248">
        <f>IFERROR(IF(OR(NOT(ISNUMBER(Data!R53)),NOT(ISNUMBER(Data!S53)),NOT(ISNUMBER(Data!T53)),NOT(ISNUMBER(Data!U53)),NOT(ISNUMBER(Data!U28))),"-",(Data!R53+Data!S53+Data!T53+Data!U53)/Data!U28),"-")</f>
        <v/>
      </c>
      <c r="V31" s="256">
        <f>IFERROR(IF(OR(NOT(ISNUMBER(Data!S53)),NOT(ISNUMBER(Data!T53)),NOT(ISNUMBER(Data!U53)),NOT(ISNUMBER(Data!V53)),NOT(ISNUMBER(Data!V28))),"-",(Data!S53+Data!T53+Data!U53+Data!V53)/Data!V28),"-")</f>
        <v/>
      </c>
      <c r="W31" s="256">
        <f>IFERROR(IF(OR(NOT(ISNUMBER(Data!T53)),NOT(ISNUMBER(Data!U53)),NOT(ISNUMBER(Data!V53)),NOT(ISNUMBER(Data!W53)),NOT(ISNUMBER(Data!W28))),"-",(Data!T53+Data!U53+Data!V53+Data!W53)/Data!W28),"-")</f>
        <v/>
      </c>
      <c r="X31" s="461">
        <f>IFERROR(IF(OR(NOT(ISNUMBER(Data!U53)),NOT(ISNUMBER(Data!V53)),NOT(ISNUMBER(Data!W53)),NOT(ISNUMBER(Data!X53)),NOT(ISNUMBER(Data!X28))),"-",(Data!U53+Data!V53+Data!W53+Data!X53)/Data!X28),"-")</f>
        <v/>
      </c>
      <c r="Y31" s="461">
        <f>IFERROR(IF(OR(NOT(ISNUMBER(Data!V53)),NOT(ISNUMBER(Data!W53)),NOT(ISNUMBER(Data!X53)),NOT(ISNUMBER(Data!Y53)),NOT(ISNUMBER(Data!Y28))),"-",(Data!V53+Data!W53+Data!X53+Data!Y53)/Data!Y28),"-")</f>
        <v/>
      </c>
    </row>
    <row r="32" ht="15" customHeight="1" s="74">
      <c r="A32" s="15" t="inlineStr">
        <is>
          <t>Revenue / Share</t>
        </is>
      </c>
      <c r="B32" s="21" t="n"/>
      <c r="C32" s="21">
        <f>IFERROR(IF(OR(NOT(ISNUMBER(Data!C14)),NOT(ISNUMBER(Data!C28))),"-",Data!C14/(Data!C28*20)),"-")</f>
        <v/>
      </c>
      <c r="D32" s="21">
        <f>IFERROR(IF(OR(NOT(ISNUMBER(Data!D14)),NOT(ISNUMBER(Data!D28))),"-",Data!D14/(Data!D28*20)),"-")</f>
        <v/>
      </c>
      <c r="E32" s="21">
        <f>IFERROR(IF(OR(NOT(ISNUMBER(Data!E14)),NOT(ISNUMBER(Data!E28))),"-",Data!E14/(Data!E28*20)),"-")</f>
        <v/>
      </c>
      <c r="F32" s="21">
        <f>IFERROR(IF(OR(NOT(ISNUMBER(Data!F14)),NOT(ISNUMBER(Data!F28))),"-",Data!F14/(Data!F28*20)),"-")</f>
        <v/>
      </c>
      <c r="G32" s="21">
        <f>IFERROR(IF(OR(NOT(ISNUMBER(Data!G14)),NOT(ISNUMBER(Data!G28))),"-",Data!G14/(Data!G28*20)),"-")</f>
        <v/>
      </c>
      <c r="H32" s="21">
        <f>IFERROR(IF(OR(NOT(ISNUMBER(Data!H14)),NOT(ISNUMBER(Data!H28))),"-",Data!H14/(Data!H28*20)),"-")</f>
        <v/>
      </c>
      <c r="I32" s="21">
        <f>IFERROR(IF(OR(NOT(ISNUMBER(Data!I14)),NOT(ISNUMBER(Data!I28))),"-",Data!I14/Data!I28),"-")</f>
        <v/>
      </c>
      <c r="J32" s="21">
        <f>IFERROR(IF(OR(NOT(ISNUMBER(Data!J14)),NOT(ISNUMBER(Data!J28))),"-",Data!J14/Data!J28),"-")</f>
        <v/>
      </c>
      <c r="K32" s="21">
        <f>IFERROR(IF(OR(NOT(ISNUMBER(Data!K14)),NOT(ISNUMBER(Data!K28))),"-",Data!K14/Data!K28),"-")</f>
        <v/>
      </c>
      <c r="L32" s="21">
        <f>IFERROR(IF(OR(NOT(ISNUMBER(Data!L14)),NOT(ISNUMBER(Data!L28))),"-",Data!L14/Data!L28),"-")</f>
        <v/>
      </c>
      <c r="M32" s="261" t="n"/>
      <c r="N32" s="247" t="n"/>
      <c r="O32" s="247" t="n"/>
      <c r="P32" s="247" t="n"/>
      <c r="Q32" s="247">
        <f>IFERROR(IF(OR(NOT(ISNUMBER(Data!N14)),NOT(ISNUMBER(Data!O14)),NOT(ISNUMBER(Data!P14)),NOT(ISNUMBER(Data!Q14)),NOT(ISNUMBER(Data!Q28))),"-",(Data!N14+Data!O14+Data!P14+Data!Q14)/Data!Q28),"-")</f>
        <v/>
      </c>
      <c r="R32" s="247">
        <f>IFERROR(IF(OR(NOT(ISNUMBER(Data!O14)),NOT(ISNUMBER(Data!P14)),NOT(ISNUMBER(Data!Q14)),NOT(ISNUMBER(Data!R14)),NOT(ISNUMBER(Data!R28))),"-",(Data!O14+Data!P14+Data!Q14+Data!R14)/Data!R28),"-")</f>
        <v/>
      </c>
      <c r="S32" s="247">
        <f>IFERROR(IF(OR(NOT(ISNUMBER(Data!P14)),NOT(ISNUMBER(Data!Q14)),NOT(ISNUMBER(Data!R14)),NOT(ISNUMBER(Data!S14)),NOT(ISNUMBER(Data!S28))),"-",(Data!P14+Data!Q14+Data!R14+Data!S14)/Data!S28),"-")</f>
        <v/>
      </c>
      <c r="T32" s="247">
        <f>IFERROR(IF(OR(NOT(ISNUMBER(Data!Q14)),NOT(ISNUMBER(Data!R14)),NOT(ISNUMBER(Data!S14)),NOT(ISNUMBER(Data!T14)),NOT(ISNUMBER(Data!T28))),"-",(Data!Q14+Data!R14+Data!S14+Data!T14)/Data!T28),"-")</f>
        <v/>
      </c>
      <c r="U32" s="247">
        <f>IFERROR(IF(OR(NOT(ISNUMBER(Data!R14)),NOT(ISNUMBER(Data!S14)),NOT(ISNUMBER(Data!T14)),NOT(ISNUMBER(Data!U14)),NOT(ISNUMBER(Data!U28))),"-",(Data!R14+Data!S14+Data!T14+Data!U14)/Data!U28),"-")</f>
        <v/>
      </c>
      <c r="V32" s="258">
        <f>IFERROR(IF(OR(NOT(ISNUMBER(Data!S14)),NOT(ISNUMBER(Data!T14)),NOT(ISNUMBER(Data!U14)),NOT(ISNUMBER(Data!V14)),NOT(ISNUMBER(Data!V28))),"-",(Data!S14+Data!T14+Data!U14+Data!V14)/Data!V28),"-")</f>
        <v/>
      </c>
      <c r="W32" s="258">
        <f>IFERROR(IF(OR(NOT(ISNUMBER(Data!T14)),NOT(ISNUMBER(Data!U14)),NOT(ISNUMBER(Data!V14)),NOT(ISNUMBER(Data!W14)),NOT(ISNUMBER(Data!W28))),"-",(Data!T14+Data!U14+Data!V14+Data!W14)/Data!W28),"-")</f>
        <v/>
      </c>
      <c r="X32" s="461">
        <f>IFERROR(IF(OR(NOT(ISNUMBER(Data!U14)),NOT(ISNUMBER(Data!V14)),NOT(ISNUMBER(Data!W14)),NOT(ISNUMBER(Data!X14)),NOT(ISNUMBER(Data!X28))),"-",(Data!U14+Data!V14+Data!W14+Data!X14)/Data!X28),"-")</f>
        <v/>
      </c>
      <c r="Y32" s="461">
        <f>IFERROR(IF(OR(NOT(ISNUMBER(Data!V14)),NOT(ISNUMBER(Data!W14)),NOT(ISNUMBER(Data!X14)),NOT(ISNUMBER(Data!Y14)),NOT(ISNUMBER(Data!Y28))),"-",(Data!V14+Data!W14+Data!X14+Data!Y14)/Data!Y28),"-")</f>
        <v/>
      </c>
    </row>
    <row r="33">
      <c r="A33" s="2" t="inlineStr">
        <is>
          <t>Diluted EPS (split-adj)</t>
        </is>
      </c>
      <c r="B33" s="2" t="n"/>
      <c r="C33" s="2">
        <f>IFERROR(IF(OR(NOT(ISNUMBER(Data!C27))),"-",(Data!C27/20)),"-")</f>
        <v/>
      </c>
      <c r="D33" s="2">
        <f>IFERROR(IF(OR(NOT(ISNUMBER(Data!D27))),"-",(Data!D27/20)),"-")</f>
        <v/>
      </c>
      <c r="E33" s="2">
        <f>IFERROR(IF(OR(NOT(ISNUMBER(Data!E27))),"-",(Data!E27/20)),"-")</f>
        <v/>
      </c>
      <c r="F33" s="2">
        <f>IFERROR(IF(OR(NOT(ISNUMBER(Data!F27))),"-",(Data!F27/20)),"-")</f>
        <v/>
      </c>
      <c r="G33" s="2">
        <f>IFERROR(IF(OR(NOT(ISNUMBER(Data!G27))),"-",(Data!G27/20)),"-")</f>
        <v/>
      </c>
      <c r="H33" s="2">
        <f>IFERROR(IF(OR(NOT(ISNUMBER(Data!H27))),"-",(Data!H27/20)),"-")</f>
        <v/>
      </c>
      <c r="I33" s="2">
        <f>IFERROR(IF(OR(NOT(ISNUMBER(Data!I27))),"-",Data!I27),"-")</f>
        <v/>
      </c>
      <c r="J33" s="2">
        <f>IFERROR(IF(OR(NOT(ISNUMBER(Data!J27))),"-",Data!J27),"-")</f>
        <v/>
      </c>
      <c r="K33" s="2">
        <f>IFERROR(IF(OR(NOT(ISNUMBER(Data!K27))),"-",Data!K27),"-")</f>
        <v/>
      </c>
      <c r="L33" s="2">
        <f>IFERROR(IF(OR(NOT(ISNUMBER(Data!L27))),"-",Data!L27),"-")</f>
        <v/>
      </c>
      <c r="M33" s="261" t="n"/>
      <c r="N33" s="224" t="n"/>
      <c r="O33" s="224" t="n"/>
      <c r="P33" s="224" t="n"/>
      <c r="Q33" s="224" t="n"/>
      <c r="R33" s="224" t="n"/>
      <c r="S33" s="224" t="n"/>
      <c r="T33" s="224" t="n"/>
      <c r="U33" s="224" t="n"/>
      <c r="V33" s="224" t="n"/>
      <c r="W33" s="224" t="n"/>
      <c r="X33" s="463" t="n"/>
      <c r="Y33" s="463" t="n"/>
    </row>
    <row r="34" ht="19" customHeight="1" s="74">
      <c r="A34" s="226" t="inlineStr">
        <is>
          <t>SOLVENCY &amp; CAPITAL STRUCTURE</t>
        </is>
      </c>
    </row>
    <row r="35" ht="15" customHeight="1" s="74">
      <c r="A35" s="14" t="inlineStr">
        <is>
          <t>Period</t>
        </is>
      </c>
      <c r="B35" s="14">
        <f>Data!B13</f>
        <v/>
      </c>
      <c r="C35" s="14">
        <f>Data!C13</f>
        <v/>
      </c>
      <c r="D35" s="14">
        <f>Data!D13</f>
        <v/>
      </c>
      <c r="E35" s="14">
        <f>Data!E13</f>
        <v/>
      </c>
      <c r="F35" s="14">
        <f>Data!F13</f>
        <v/>
      </c>
      <c r="G35" s="14">
        <f>Data!G13</f>
        <v/>
      </c>
      <c r="H35" s="14">
        <f>Data!H13</f>
        <v/>
      </c>
      <c r="I35" s="14">
        <f>Data!I13</f>
        <v/>
      </c>
      <c r="J35" s="14">
        <f>Data!J13</f>
        <v/>
      </c>
      <c r="K35" s="14">
        <f>Data!K13</f>
        <v/>
      </c>
      <c r="L35" s="14">
        <f>Data!L13</f>
        <v/>
      </c>
      <c r="N35" s="265" t="n"/>
      <c r="O35" s="265" t="n"/>
      <c r="P35" s="265" t="n"/>
      <c r="Q35" s="265" t="n"/>
      <c r="R35" s="265" t="n"/>
      <c r="S35" s="265" t="n"/>
      <c r="T35" s="265" t="n"/>
      <c r="U35" s="265" t="n"/>
      <c r="V35" s="265" t="n"/>
      <c r="W35" s="265" t="n"/>
      <c r="X35" s="265" t="n"/>
      <c r="Y35" s="265" t="n"/>
    </row>
    <row r="36" ht="15" customHeight="1" s="74">
      <c r="A36" s="15" t="inlineStr">
        <is>
          <t>Primary Structure Margin ($M)</t>
        </is>
      </c>
      <c r="B36" s="23">
        <f>IFERROR(Data!B41-(Data!B39-Data!B37),"-")</f>
        <v/>
      </c>
      <c r="C36" s="23">
        <f>IFERROR(Data!C41-(Data!C39-Data!C37),"-")</f>
        <v/>
      </c>
      <c r="D36" s="23">
        <f>IFERROR(Data!D41-(Data!D39-Data!D37),"-")</f>
        <v/>
      </c>
      <c r="E36" s="23">
        <f>IFERROR(Data!E41-(Data!E39-Data!E37),"-")</f>
        <v/>
      </c>
      <c r="F36" s="23">
        <f>IFERROR(Data!F41-(Data!F39-Data!F37),"-")</f>
        <v/>
      </c>
      <c r="G36" s="23">
        <f>IFERROR(Data!G41-(Data!G39-Data!G37),"-")</f>
        <v/>
      </c>
      <c r="H36" s="23">
        <f>IFERROR(Data!H41-(Data!H39-Data!H37),"-")</f>
        <v/>
      </c>
      <c r="I36" s="23">
        <f>IFERROR(Data!I41-(Data!I39-Data!I37),"-")</f>
        <v/>
      </c>
      <c r="J36" s="23">
        <f>IFERROR(Data!J41-(Data!J39-Data!J37),"-")</f>
        <v/>
      </c>
      <c r="K36" s="23">
        <f>IFERROR(Data!K41-(Data!K39-Data!K37),"-")</f>
        <v/>
      </c>
      <c r="L36" s="23">
        <f>IFERROR(Data!L41-(Data!L39-Data!L37),"-")</f>
        <v/>
      </c>
      <c r="M36" s="261" t="n"/>
      <c r="N36" s="268" t="n"/>
      <c r="O36" s="268" t="n"/>
      <c r="P36" s="268" t="n"/>
      <c r="Q36" s="268" t="n"/>
      <c r="R36" s="268" t="n"/>
      <c r="S36" s="268" t="n"/>
      <c r="T36" s="268" t="n"/>
      <c r="U36" s="268" t="n"/>
      <c r="V36" s="261" t="n"/>
      <c r="W36" s="261" t="n"/>
      <c r="X36" s="465" t="n"/>
      <c r="Y36" s="465" t="n"/>
    </row>
    <row r="37" ht="15" customHeight="1" s="74">
      <c r="A37" s="17" t="inlineStr">
        <is>
          <t>Primary Structure Ratio</t>
        </is>
      </c>
      <c r="B37" s="93">
        <f>IFERROR(Data!B41/(Data!B39-Data!B37),"-")</f>
        <v/>
      </c>
      <c r="C37" s="93">
        <f>IFERROR(Data!C41/(Data!C39-Data!C37),"-")</f>
        <v/>
      </c>
      <c r="D37" s="93">
        <f>IFERROR(Data!D41/(Data!D39-Data!D37),"-")</f>
        <v/>
      </c>
      <c r="E37" s="93">
        <f>IFERROR(Data!E41/(Data!E39-Data!E37),"-")</f>
        <v/>
      </c>
      <c r="F37" s="93">
        <f>IFERROR(Data!F41/(Data!F39-Data!F37),"-")</f>
        <v/>
      </c>
      <c r="G37" s="93">
        <f>IFERROR(Data!G41/(Data!G39-Data!G37),"-")</f>
        <v/>
      </c>
      <c r="H37" s="93">
        <f>IFERROR(Data!H41/(Data!H39-Data!H37),"-")</f>
        <v/>
      </c>
      <c r="I37" s="93">
        <f>IFERROR(Data!I41/(Data!I39-Data!I37),"-")</f>
        <v/>
      </c>
      <c r="J37" s="93">
        <f>IFERROR(Data!J41/(Data!J39-Data!J37),"-")</f>
        <v/>
      </c>
      <c r="K37" s="93">
        <f>IFERROR(Data!K41/(Data!K39-Data!K37),"-")</f>
        <v/>
      </c>
      <c r="L37" s="93">
        <f>IFERROR(Data!L41/(Data!L39-Data!L37),"-")</f>
        <v/>
      </c>
      <c r="M37" s="261" t="n"/>
      <c r="N37" s="269" t="n"/>
      <c r="O37" s="269" t="n"/>
      <c r="P37" s="269" t="n"/>
      <c r="Q37" s="269" t="n"/>
      <c r="R37" s="269" t="n"/>
      <c r="S37" s="269" t="n"/>
      <c r="T37" s="269" t="n"/>
      <c r="U37" s="269" t="n"/>
      <c r="V37" s="261" t="n"/>
      <c r="W37" s="261" t="n"/>
      <c r="X37" s="465" t="n"/>
      <c r="Y37" s="465" t="n"/>
    </row>
    <row r="38" ht="15" customHeight="1" s="74">
      <c r="A38" s="15" t="inlineStr">
        <is>
          <t>Secondary Structure Margin ($M)</t>
        </is>
      </c>
      <c r="B38" s="23">
        <f>IFERROR((Data!B41+Data!B34)-(Data!B39-Data!B37),"-")</f>
        <v/>
      </c>
      <c r="C38" s="23">
        <f>IFERROR((Data!C41+Data!C34)-(Data!C39-Data!C37),"-")</f>
        <v/>
      </c>
      <c r="D38" s="23">
        <f>IFERROR((Data!D41+Data!D34)-(Data!D39-Data!D37),"-")</f>
        <v/>
      </c>
      <c r="E38" s="23">
        <f>IFERROR((Data!E41+Data!E34)-(Data!E39-Data!E37),"-")</f>
        <v/>
      </c>
      <c r="F38" s="23">
        <f>IFERROR((Data!F41+Data!F34)-(Data!F39-Data!F37),"-")</f>
        <v/>
      </c>
      <c r="G38" s="23">
        <f>IFERROR((Data!G41+Data!G34)-(Data!G39-Data!G37),"-")</f>
        <v/>
      </c>
      <c r="H38" s="23">
        <f>IFERROR((Data!H41+Data!H34)-(Data!H39-Data!H37),"-")</f>
        <v/>
      </c>
      <c r="I38" s="23">
        <f>IFERROR((Data!I41+Data!I34)-(Data!I39-Data!I37),"-")</f>
        <v/>
      </c>
      <c r="J38" s="23">
        <f>IFERROR((Data!J41+Data!J34)-(Data!J39-Data!J37),"-")</f>
        <v/>
      </c>
      <c r="K38" s="23">
        <f>IFERROR((Data!K41+Data!K34)-(Data!K39-Data!K37),"-")</f>
        <v/>
      </c>
      <c r="L38" s="23">
        <f>IFERROR((Data!L41+Data!L34)-(Data!L39-Data!L37),"-")</f>
        <v/>
      </c>
      <c r="M38" s="261" t="n"/>
      <c r="N38" s="268" t="n"/>
      <c r="O38" s="268" t="n"/>
      <c r="P38" s="268" t="n"/>
      <c r="Q38" s="268" t="n"/>
      <c r="R38" s="268" t="n"/>
      <c r="S38" s="268" t="n"/>
      <c r="T38" s="268" t="n"/>
      <c r="U38" s="268" t="n"/>
      <c r="V38" s="261" t="n"/>
      <c r="W38" s="261" t="n"/>
      <c r="X38" s="465" t="n"/>
      <c r="Y38" s="465" t="n"/>
    </row>
    <row r="39" ht="15" customHeight="1" s="74">
      <c r="A39" s="17" t="inlineStr">
        <is>
          <t>Secondary Structure Ratio</t>
        </is>
      </c>
      <c r="B39" s="93">
        <f>IFERROR((Data!B41+Data!B34)/(Data!B39-Data!B37),"-")</f>
        <v/>
      </c>
      <c r="C39" s="93">
        <f>IFERROR((Data!C41+Data!C34)/(Data!C39-Data!C37),"-")</f>
        <v/>
      </c>
      <c r="D39" s="93">
        <f>IFERROR((Data!D41+Data!D34)/(Data!D39-Data!D37),"-")</f>
        <v/>
      </c>
      <c r="E39" s="93">
        <f>IFERROR((Data!E41+Data!E34)/(Data!E39-Data!E37),"-")</f>
        <v/>
      </c>
      <c r="F39" s="93">
        <f>IFERROR((Data!F41+Data!F34)/(Data!F39-Data!F37),"-")</f>
        <v/>
      </c>
      <c r="G39" s="93">
        <f>IFERROR((Data!G41+Data!G34)/(Data!G39-Data!G37),"-")</f>
        <v/>
      </c>
      <c r="H39" s="93">
        <f>IFERROR((Data!H41+Data!H34)/(Data!H39-Data!H37),"-")</f>
        <v/>
      </c>
      <c r="I39" s="93">
        <f>IFERROR((Data!I41+Data!I34)/(Data!I39-Data!I37),"-")</f>
        <v/>
      </c>
      <c r="J39" s="93">
        <f>IFERROR((Data!J41+Data!J34)/(Data!J39-Data!J37),"-")</f>
        <v/>
      </c>
      <c r="K39" s="93">
        <f>IFERROR((Data!K41+Data!K34)/(Data!K39-Data!K37),"-")</f>
        <v/>
      </c>
      <c r="L39" s="93">
        <f>IFERROR((Data!L41+Data!L34)/(Data!L39-Data!L37),"-")</f>
        <v/>
      </c>
      <c r="M39" s="261" t="n"/>
      <c r="N39" s="269" t="n"/>
      <c r="O39" s="269" t="n"/>
      <c r="P39" s="269" t="n"/>
      <c r="Q39" s="269" t="n"/>
      <c r="R39" s="269" t="n"/>
      <c r="S39" s="269" t="n"/>
      <c r="T39" s="269" t="n"/>
      <c r="U39" s="269" t="n"/>
      <c r="V39" s="261" t="n"/>
      <c r="W39" s="261" t="n"/>
      <c r="X39" s="465" t="n"/>
      <c r="Y39" s="465" t="n"/>
    </row>
    <row r="40" ht="15" customHeight="1" s="74">
      <c r="A40" s="15" t="inlineStr">
        <is>
          <t>Degree of Asset Rigidity</t>
        </is>
      </c>
      <c r="B40" s="84">
        <f>IFERROR((Data!B39-Data!B37)/Data!B39,"-")</f>
        <v/>
      </c>
      <c r="C40" s="84">
        <f>IFERROR((Data!C39-Data!C37)/Data!C39,"-")</f>
        <v/>
      </c>
      <c r="D40" s="84">
        <f>IFERROR((Data!D39-Data!D37)/Data!D39,"-")</f>
        <v/>
      </c>
      <c r="E40" s="84">
        <f>IFERROR((Data!E39-Data!E37)/Data!E39,"-")</f>
        <v/>
      </c>
      <c r="F40" s="84">
        <f>IFERROR((Data!F39-Data!F37)/Data!F39,"-")</f>
        <v/>
      </c>
      <c r="G40" s="84">
        <f>IFERROR((Data!G39-Data!G37)/Data!G39,"-")</f>
        <v/>
      </c>
      <c r="H40" s="84">
        <f>IFERROR((Data!H39-Data!H37)/Data!H39,"-")</f>
        <v/>
      </c>
      <c r="I40" s="84">
        <f>IFERROR((Data!I39-Data!I37)/Data!I39,"-")</f>
        <v/>
      </c>
      <c r="J40" s="84">
        <f>IFERROR((Data!J39-Data!J37)/Data!J39,"-")</f>
        <v/>
      </c>
      <c r="K40" s="84">
        <f>IFERROR((Data!K39-Data!K37)/Data!K39,"-")</f>
        <v/>
      </c>
      <c r="L40" s="84">
        <f>IFERROR((Data!L39-Data!L37)/Data!L39,"-")</f>
        <v/>
      </c>
      <c r="M40" s="261" t="n"/>
      <c r="N40" s="270" t="n"/>
      <c r="O40" s="270" t="n"/>
      <c r="P40" s="270" t="n"/>
      <c r="Q40" s="270" t="n"/>
      <c r="R40" s="270" t="n"/>
      <c r="S40" s="270" t="n"/>
      <c r="T40" s="270" t="n"/>
      <c r="U40" s="270" t="n"/>
      <c r="V40" s="261" t="n"/>
      <c r="W40" s="261" t="n"/>
      <c r="X40" s="465" t="n"/>
      <c r="Y40" s="465" t="n"/>
    </row>
    <row r="41" ht="15" customHeight="1" s="74">
      <c r="A41" s="17" t="inlineStr">
        <is>
          <t>Financial Autonomy (Equity)</t>
        </is>
      </c>
      <c r="B41" s="81">
        <f>IFERROR(Data!B41/Data!B39,"-")</f>
        <v/>
      </c>
      <c r="C41" s="81">
        <f>IFERROR(Data!C41/Data!C39,"-")</f>
        <v/>
      </c>
      <c r="D41" s="81">
        <f>IFERROR(Data!D41/Data!D39,"-")</f>
        <v/>
      </c>
      <c r="E41" s="81">
        <f>IFERROR(Data!E41/Data!E39,"-")</f>
        <v/>
      </c>
      <c r="F41" s="81">
        <f>IFERROR(Data!F41/Data!F39,"-")</f>
        <v/>
      </c>
      <c r="G41" s="81">
        <f>IFERROR(Data!G41/Data!G39,"-")</f>
        <v/>
      </c>
      <c r="H41" s="81">
        <f>IFERROR(Data!H41/Data!H39,"-")</f>
        <v/>
      </c>
      <c r="I41" s="81">
        <f>IFERROR(Data!I41/Data!I39,"-")</f>
        <v/>
      </c>
      <c r="J41" s="81">
        <f>IFERROR(Data!J41/Data!J39,"-")</f>
        <v/>
      </c>
      <c r="K41" s="81">
        <f>IFERROR(Data!K41/Data!K39,"-")</f>
        <v/>
      </c>
      <c r="L41" s="81">
        <f>IFERROR(Data!L41/Data!L39,"-")</f>
        <v/>
      </c>
      <c r="M41" s="261" t="n"/>
      <c r="N41" s="270" t="n"/>
      <c r="O41" s="270" t="n"/>
      <c r="P41" s="270" t="n"/>
      <c r="Q41" s="270" t="n"/>
      <c r="R41" s="270" t="n"/>
      <c r="S41" s="270" t="n"/>
      <c r="T41" s="270" t="n"/>
      <c r="U41" s="270" t="n"/>
      <c r="V41" s="261" t="n"/>
      <c r="W41" s="261" t="n"/>
      <c r="X41" s="465" t="n"/>
      <c r="Y41" s="465" t="n"/>
    </row>
    <row r="42" ht="15" customHeight="1" s="74">
      <c r="A42" s="15" t="inlineStr">
        <is>
          <t>Financial Autonomy (LT Debt)</t>
        </is>
      </c>
      <c r="B42" s="84">
        <f>IFERROR((Data!B40-Data!B38)/Data!B39,"-")</f>
        <v/>
      </c>
      <c r="C42" s="84">
        <f>IFERROR((Data!C40-Data!C38)/Data!C39,"-")</f>
        <v/>
      </c>
      <c r="D42" s="84">
        <f>IFERROR((Data!D40-Data!D38)/Data!D39,"-")</f>
        <v/>
      </c>
      <c r="E42" s="84">
        <f>IFERROR((Data!E40-Data!E38)/Data!E39,"-")</f>
        <v/>
      </c>
      <c r="F42" s="84">
        <f>IFERROR((Data!F40-Data!F38)/Data!F39,"-")</f>
        <v/>
      </c>
      <c r="G42" s="84">
        <f>IFERROR((Data!G40-Data!G38)/Data!G39,"-")</f>
        <v/>
      </c>
      <c r="H42" s="84">
        <f>IFERROR((Data!H40-Data!H38)/Data!H39,"-")</f>
        <v/>
      </c>
      <c r="I42" s="84">
        <f>IFERROR((Data!I40-Data!I38)/Data!I39,"-")</f>
        <v/>
      </c>
      <c r="J42" s="84">
        <f>IFERROR((Data!J40-Data!J38)/Data!J39,"-")</f>
        <v/>
      </c>
      <c r="K42" s="84">
        <f>IFERROR((Data!K40-Data!K38)/Data!K39,"-")</f>
        <v/>
      </c>
      <c r="L42" s="84">
        <f>IFERROR((Data!L40-Data!L38)/Data!L39,"-")</f>
        <v/>
      </c>
      <c r="M42" s="261" t="n"/>
      <c r="N42" s="270" t="n"/>
      <c r="O42" s="270" t="n"/>
      <c r="P42" s="270" t="n"/>
      <c r="Q42" s="270" t="n"/>
      <c r="R42" s="270" t="n"/>
      <c r="S42" s="270" t="n"/>
      <c r="T42" s="270" t="n"/>
      <c r="U42" s="270" t="n"/>
      <c r="V42" s="261" t="n"/>
      <c r="W42" s="261" t="n"/>
      <c r="X42" s="465" t="n"/>
      <c r="Y42" s="465" t="n"/>
    </row>
    <row r="43" ht="15" customHeight="1" s="74">
      <c r="A43" s="17" t="inlineStr">
        <is>
          <t>Financial Autonomy (ST Debt)</t>
        </is>
      </c>
      <c r="B43" s="81">
        <f>IFERROR(Data!B38/Data!B39,"-")</f>
        <v/>
      </c>
      <c r="C43" s="81">
        <f>IFERROR(Data!C38/Data!C39,"-")</f>
        <v/>
      </c>
      <c r="D43" s="81">
        <f>IFERROR(Data!D38/Data!D39,"-")</f>
        <v/>
      </c>
      <c r="E43" s="81">
        <f>IFERROR(Data!E38/Data!E39,"-")</f>
        <v/>
      </c>
      <c r="F43" s="81">
        <f>IFERROR(Data!F38/Data!F39,"-")</f>
        <v/>
      </c>
      <c r="G43" s="81">
        <f>IFERROR(Data!G38/Data!G39,"-")</f>
        <v/>
      </c>
      <c r="H43" s="81">
        <f>IFERROR(Data!H38/Data!H39,"-")</f>
        <v/>
      </c>
      <c r="I43" s="81">
        <f>IFERROR(Data!I38/Data!I39,"-")</f>
        <v/>
      </c>
      <c r="J43" s="81">
        <f>IFERROR(Data!J38/Data!J39,"-")</f>
        <v/>
      </c>
      <c r="K43" s="81">
        <f>IFERROR(Data!K38/Data!K39,"-")</f>
        <v/>
      </c>
      <c r="L43" s="81">
        <f>IFERROR(Data!L38/Data!L39,"-")</f>
        <v/>
      </c>
      <c r="M43" s="261" t="n"/>
      <c r="N43" s="270" t="n"/>
      <c r="O43" s="270" t="n"/>
      <c r="P43" s="270" t="n"/>
      <c r="Q43" s="270" t="n"/>
      <c r="R43" s="270" t="n"/>
      <c r="S43" s="270" t="n"/>
      <c r="T43" s="270" t="n"/>
      <c r="U43" s="270" t="n"/>
      <c r="V43" s="261" t="n"/>
      <c r="W43" s="261" t="n"/>
      <c r="X43" s="465" t="n"/>
      <c r="Y43" s="465" t="n"/>
    </row>
    <row r="44" ht="15" customHeight="1" s="74">
      <c r="A44" s="15" t="inlineStr">
        <is>
          <t>Debt Index</t>
        </is>
      </c>
      <c r="B44" s="84">
        <f>IFERROR(Data!B40/Data!B39,"-")</f>
        <v/>
      </c>
      <c r="C44" s="84">
        <f>IFERROR(Data!C40/Data!C39,"-")</f>
        <v/>
      </c>
      <c r="D44" s="84">
        <f>IFERROR(Data!D40/Data!D39,"-")</f>
        <v/>
      </c>
      <c r="E44" s="84">
        <f>IFERROR(Data!E40/Data!E39,"-")</f>
        <v/>
      </c>
      <c r="F44" s="84">
        <f>IFERROR(Data!F40/Data!F39,"-")</f>
        <v/>
      </c>
      <c r="G44" s="84">
        <f>IFERROR(Data!G40/Data!G39,"-")</f>
        <v/>
      </c>
      <c r="H44" s="84">
        <f>IFERROR(Data!H40/Data!H39,"-")</f>
        <v/>
      </c>
      <c r="I44" s="84">
        <f>IFERROR(Data!I40/Data!I39,"-")</f>
        <v/>
      </c>
      <c r="J44" s="84">
        <f>IFERROR(Data!J40/Data!J39,"-")</f>
        <v/>
      </c>
      <c r="K44" s="84">
        <f>IFERROR(Data!K40/Data!K39,"-")</f>
        <v/>
      </c>
      <c r="L44" s="84">
        <f>IFERROR(Data!L40/Data!L39,"-")</f>
        <v/>
      </c>
      <c r="M44" s="261" t="n"/>
      <c r="N44" s="270" t="n"/>
      <c r="O44" s="270" t="n"/>
      <c r="P44" s="270" t="n"/>
      <c r="Q44" s="270" t="n"/>
      <c r="R44" s="270" t="n"/>
      <c r="S44" s="270" t="n"/>
      <c r="T44" s="270" t="n"/>
      <c r="U44" s="270" t="n"/>
      <c r="V44" s="261" t="n"/>
      <c r="W44" s="261" t="n"/>
      <c r="X44" s="465" t="n"/>
      <c r="Y44" s="465" t="n"/>
    </row>
    <row r="45">
      <c r="A45" s="2" t="n"/>
      <c r="B45" s="2" t="n"/>
      <c r="C45" s="2" t="n"/>
      <c r="D45" s="2" t="n"/>
      <c r="E45" s="2" t="n"/>
      <c r="F45" s="2" t="n"/>
      <c r="G45" s="2" t="n"/>
      <c r="H45" s="2" t="n"/>
      <c r="I45" s="2" t="n"/>
      <c r="J45" s="2" t="n"/>
      <c r="K45" s="2" t="n"/>
      <c r="L45" s="2" t="n"/>
      <c r="N45" s="2" t="n"/>
      <c r="O45" s="2" t="n"/>
      <c r="P45" s="2" t="n"/>
      <c r="Q45" s="2" t="n"/>
      <c r="R45" s="2" t="n"/>
      <c r="S45" s="2" t="n"/>
      <c r="T45" s="2" t="n"/>
      <c r="U45" s="2" t="n"/>
    </row>
    <row r="46" ht="19" customHeight="1" s="74">
      <c r="A46" s="226" t="inlineStr">
        <is>
          <t>LIQUIDITY RATIOS</t>
        </is>
      </c>
    </row>
    <row r="47" ht="28" customHeight="1" s="74">
      <c r="A47" s="14" t="inlineStr">
        <is>
          <t>Period</t>
        </is>
      </c>
      <c r="B47" s="14">
        <f>Data!B13</f>
        <v/>
      </c>
      <c r="C47" s="14">
        <f>Data!C13</f>
        <v/>
      </c>
      <c r="D47" s="14">
        <f>Data!D13</f>
        <v/>
      </c>
      <c r="E47" s="14">
        <f>Data!E13</f>
        <v/>
      </c>
      <c r="F47" s="14">
        <f>Data!F13</f>
        <v/>
      </c>
      <c r="G47" s="14">
        <f>Data!G13</f>
        <v/>
      </c>
      <c r="H47" s="14">
        <f>Data!H13</f>
        <v/>
      </c>
      <c r="I47" s="14">
        <f>Data!I13</f>
        <v/>
      </c>
      <c r="J47" s="14">
        <f>Data!J13</f>
        <v/>
      </c>
      <c r="K47" s="14">
        <f>Data!K13</f>
        <v/>
      </c>
      <c r="L47" s="14">
        <f>Data!L13</f>
        <v/>
      </c>
      <c r="N47" s="267" t="inlineStr">
        <is>
          <t>Year -2
Q1</t>
        </is>
      </c>
      <c r="O47" s="267" t="inlineStr">
        <is>
          <t>Year -2
Q2</t>
        </is>
      </c>
      <c r="P47" s="267" t="inlineStr">
        <is>
          <t>Year -2
Q3</t>
        </is>
      </c>
      <c r="Q47" s="267" t="inlineStr">
        <is>
          <t>Year -2
Q4</t>
        </is>
      </c>
      <c r="R47" s="267" t="inlineStr">
        <is>
          <t>Year -1
Q1</t>
        </is>
      </c>
      <c r="S47" s="267" t="inlineStr">
        <is>
          <t>Year -1
Q2</t>
        </is>
      </c>
      <c r="T47" s="267" t="inlineStr">
        <is>
          <t>Year -1
Q3</t>
        </is>
      </c>
      <c r="U47" s="267" t="inlineStr">
        <is>
          <t>Year -1
Q4</t>
        </is>
      </c>
      <c r="V47" s="267" t="inlineStr">
        <is>
          <t>Current Year
Q1</t>
        </is>
      </c>
      <c r="W47" s="267" t="inlineStr">
        <is>
          <t>Current Year
Q2</t>
        </is>
      </c>
      <c r="X47" s="267" t="inlineStr">
        <is>
          <t>Current Year
Q3</t>
        </is>
      </c>
      <c r="Y47" s="267" t="inlineStr">
        <is>
          <t>Current Year
Q4</t>
        </is>
      </c>
    </row>
    <row r="48" ht="15" customHeight="1" s="74">
      <c r="A48" s="15" t="inlineStr">
        <is>
          <t>Working Capital ($M)</t>
        </is>
      </c>
      <c r="B48" s="23">
        <f>IFERROR(Data!B37-Data!B38,"-")</f>
        <v/>
      </c>
      <c r="C48" s="23">
        <f>IFERROR(Data!C37-Data!C38,"-")</f>
        <v/>
      </c>
      <c r="D48" s="23">
        <f>IFERROR(Data!D37-Data!D38,"-")</f>
        <v/>
      </c>
      <c r="E48" s="23">
        <f>IFERROR(Data!E37-Data!E38,"-")</f>
        <v/>
      </c>
      <c r="F48" s="23">
        <f>IFERROR(Data!F37-Data!F38,"-")</f>
        <v/>
      </c>
      <c r="G48" s="23">
        <f>IFERROR(Data!G37-Data!G38,"-")</f>
        <v/>
      </c>
      <c r="H48" s="23">
        <f>IFERROR(Data!H37-Data!H38,"-")</f>
        <v/>
      </c>
      <c r="I48" s="23">
        <f>IFERROR(Data!I37-Data!I38,"-")</f>
        <v/>
      </c>
      <c r="J48" s="23">
        <f>IFERROR(Data!J37-Data!J38,"-")</f>
        <v/>
      </c>
      <c r="K48" s="23">
        <f>IFERROR(Data!K37-Data!K38,"-")</f>
        <v/>
      </c>
      <c r="L48" s="23">
        <f>IFERROR(Data!L37-Data!L38,"-")</f>
        <v/>
      </c>
      <c r="M48" s="261" t="n"/>
      <c r="N48" s="220">
        <f>IFERROR(IF(OR(NOT(ISNUMBER(Data!N37)),NOT(ISNUMBER(Data!N38))),"-",Data!N37-Data!N38),"-")</f>
        <v/>
      </c>
      <c r="O48" s="220">
        <f>IFERROR(IF(OR(NOT(ISNUMBER(Data!O37)),NOT(ISNUMBER(Data!O38))),"-",Data!O37-Data!O38),"-")</f>
        <v/>
      </c>
      <c r="P48" s="220">
        <f>IFERROR(IF(OR(NOT(ISNUMBER(Data!P37)),NOT(ISNUMBER(Data!P38))),"-",Data!P37-Data!P38),"-")</f>
        <v/>
      </c>
      <c r="Q48" s="220">
        <f>IFERROR(IF(OR(NOT(ISNUMBER(Data!Q37)),NOT(ISNUMBER(Data!Q38))),"-",Data!Q37-Data!Q38),"-")</f>
        <v/>
      </c>
      <c r="R48" s="220">
        <f>IFERROR(IF(OR(NOT(ISNUMBER(Data!R37)),NOT(ISNUMBER(Data!R38))),"-",Data!R37-Data!R38),"-")</f>
        <v/>
      </c>
      <c r="S48" s="220">
        <f>IFERROR(IF(OR(NOT(ISNUMBER(Data!S37)),NOT(ISNUMBER(Data!S38))),"-",Data!S37-Data!S38),"-")</f>
        <v/>
      </c>
      <c r="T48" s="220">
        <f>IFERROR(IF(OR(NOT(ISNUMBER(Data!T37)),NOT(ISNUMBER(Data!T38))),"-",Data!T37-Data!T38),"-")</f>
        <v/>
      </c>
      <c r="U48" s="220">
        <f>IFERROR(IF(OR(NOT(ISNUMBER(Data!U37)),NOT(ISNUMBER(Data!U38))),"-",Data!U37-Data!U38),"-")</f>
        <v/>
      </c>
      <c r="V48" s="258">
        <f>IFERROR(IF(OR(NOT(ISNUMBER(Data!V37)),NOT(ISNUMBER(Data!V38))),"-",Data!V37-Data!V38),"-")</f>
        <v/>
      </c>
      <c r="W48" s="258">
        <f>IFERROR(IF(OR(NOT(ISNUMBER(Data!W37)),NOT(ISNUMBER(Data!W38))),"-",Data!W37-Data!W38),"-")</f>
        <v/>
      </c>
      <c r="X48" s="461">
        <f>IFERROR(IF(OR(NOT(ISNUMBER(Data!X37)),NOT(ISNUMBER(Data!X38))),"-",Data!X37-Data!X38),"-")</f>
        <v/>
      </c>
      <c r="Y48" s="461">
        <f>IFERROR(IF(OR(NOT(ISNUMBER(Data!Y37)),NOT(ISNUMBER(Data!Y38))),"-",Data!Y37-Data!Y38),"-")</f>
        <v/>
      </c>
    </row>
    <row r="49" ht="15" customHeight="1" s="74">
      <c r="A49" s="17" t="inlineStr">
        <is>
          <t>Quick Ratio</t>
        </is>
      </c>
      <c r="B49" s="93">
        <f>IFERROR((Data!B37-Data!B47)/Data!B38,"-")</f>
        <v/>
      </c>
      <c r="C49" s="93">
        <f>IFERROR((Data!C37-Data!C47)/Data!C38,"-")</f>
        <v/>
      </c>
      <c r="D49" s="93">
        <f>IFERROR((Data!D37-Data!D47)/Data!D38,"-")</f>
        <v/>
      </c>
      <c r="E49" s="93">
        <f>IFERROR((Data!E37-Data!E47)/Data!E38,"-")</f>
        <v/>
      </c>
      <c r="F49" s="93">
        <f>IFERROR((Data!F37-Data!F47)/Data!F38,"-")</f>
        <v/>
      </c>
      <c r="G49" s="93">
        <f>IFERROR((Data!G37-Data!G47)/Data!G38,"-")</f>
        <v/>
      </c>
      <c r="H49" s="93">
        <f>IFERROR((Data!H37-Data!H47)/Data!H38,"-")</f>
        <v/>
      </c>
      <c r="I49" s="93">
        <f>IFERROR((Data!I37-Data!I47)/Data!I38,"-")</f>
        <v/>
      </c>
      <c r="J49" s="93">
        <f>IFERROR((Data!J37-Data!J47)/Data!J38,"-")</f>
        <v/>
      </c>
      <c r="K49" s="93">
        <f>IFERROR((Data!K37-Data!K47)/Data!K38,"-")</f>
        <v/>
      </c>
      <c r="L49" s="93">
        <f>IFERROR((Data!L37-Data!L47)/Data!L38,"-")</f>
        <v/>
      </c>
      <c r="M49" s="261" t="n"/>
      <c r="N49" s="244">
        <f>IFERROR(IF(OR(NOT(ISNUMBER(Data!N37)),NOT(ISNUMBER(Data!N47)),NOT(ISNUMBER(Data!N38))),"-",(Data!N37-Data!N47)/Data!N38),"-")</f>
        <v/>
      </c>
      <c r="O49" s="244">
        <f>IFERROR(IF(OR(NOT(ISNUMBER(Data!O37)),NOT(ISNUMBER(Data!O47)),NOT(ISNUMBER(Data!O38))),"-",(Data!O37-Data!O47)/Data!O38),"-")</f>
        <v/>
      </c>
      <c r="P49" s="244">
        <f>IFERROR(IF(OR(NOT(ISNUMBER(Data!P37)),NOT(ISNUMBER(Data!P47)),NOT(ISNUMBER(Data!P38))),"-",(Data!P37-Data!P47)/Data!P38),"-")</f>
        <v/>
      </c>
      <c r="Q49" s="244">
        <f>IFERROR(IF(OR(NOT(ISNUMBER(Data!Q37)),NOT(ISNUMBER(Data!Q47)),NOT(ISNUMBER(Data!Q38))),"-",(Data!Q37-Data!Q47)/Data!Q38),"-")</f>
        <v/>
      </c>
      <c r="R49" s="244">
        <f>IFERROR(IF(OR(NOT(ISNUMBER(Data!R37)),NOT(ISNUMBER(Data!R47)),NOT(ISNUMBER(Data!R38))),"-",(Data!R37-Data!R47)/Data!R38),"-")</f>
        <v/>
      </c>
      <c r="S49" s="244">
        <f>IFERROR(IF(OR(NOT(ISNUMBER(Data!S37)),NOT(ISNUMBER(Data!S47)),NOT(ISNUMBER(Data!S38))),"-",(Data!S37-Data!S47)/Data!S38),"-")</f>
        <v/>
      </c>
      <c r="T49" s="244">
        <f>IFERROR(IF(OR(NOT(ISNUMBER(Data!T37)),NOT(ISNUMBER(Data!T47)),NOT(ISNUMBER(Data!T38))),"-",(Data!T37-Data!T47)/Data!T38),"-")</f>
        <v/>
      </c>
      <c r="U49" s="244">
        <f>IFERROR(IF(OR(NOT(ISNUMBER(Data!U37)),NOT(ISNUMBER(Data!U47)),NOT(ISNUMBER(Data!U38))),"-",(Data!U37-Data!U47)/Data!U38),"-")</f>
        <v/>
      </c>
      <c r="V49" s="256">
        <f>IFERROR(IF(OR(NOT(ISNUMBER(Data!V37)),NOT(ISNUMBER(Data!V47)),NOT(ISNUMBER(Data!V38))),"-",(Data!V37-Data!V47)/Data!V38),"-")</f>
        <v/>
      </c>
      <c r="W49" s="256">
        <f>IFERROR(IF(OR(NOT(ISNUMBER(Data!W37)),NOT(ISNUMBER(Data!W47)),NOT(ISNUMBER(Data!W38))),"-",(Data!W37-Data!W47)/Data!W38),"-")</f>
        <v/>
      </c>
      <c r="X49" s="461">
        <f>IFERROR(IF(OR(NOT(ISNUMBER(Data!X37)),NOT(ISNUMBER(Data!X47)),NOT(ISNUMBER(Data!X38))),"-",(Data!X37-Data!X47)/Data!X38),"-")</f>
        <v/>
      </c>
      <c r="Y49" s="461">
        <f>IFERROR(IF(OR(NOT(ISNUMBER(Data!Y37)),NOT(ISNUMBER(Data!Y47)),NOT(ISNUMBER(Data!Y38))),"-",(Data!Y37-Data!Y47)/Data!Y38),"-")</f>
        <v/>
      </c>
    </row>
    <row r="50" ht="15" customHeight="1" s="74">
      <c r="A50" s="15" t="inlineStr">
        <is>
          <t>Quick Margin ($M)</t>
        </is>
      </c>
      <c r="B50" s="23">
        <f>IFERROR((Data!B37-Data!B47)-Data!B38,"-")</f>
        <v/>
      </c>
      <c r="C50" s="23">
        <f>IFERROR((Data!C37-Data!C47)-Data!C38,"-")</f>
        <v/>
      </c>
      <c r="D50" s="23">
        <f>IFERROR((Data!D37-Data!D47)-Data!D38,"-")</f>
        <v/>
      </c>
      <c r="E50" s="23">
        <f>IFERROR((Data!E37-Data!E47)-Data!E38,"-")</f>
        <v/>
      </c>
      <c r="F50" s="23">
        <f>IFERROR((Data!F37-Data!F47)-Data!F38,"-")</f>
        <v/>
      </c>
      <c r="G50" s="23">
        <f>IFERROR((Data!G37-Data!G47)-Data!G38,"-")</f>
        <v/>
      </c>
      <c r="H50" s="23">
        <f>IFERROR((Data!H37-Data!H47)-Data!H38,"-")</f>
        <v/>
      </c>
      <c r="I50" s="23">
        <f>IFERROR((Data!I37-Data!I47)-Data!I38,"-")</f>
        <v/>
      </c>
      <c r="J50" s="23">
        <f>IFERROR((Data!J37-Data!J47)-Data!J38,"-")</f>
        <v/>
      </c>
      <c r="K50" s="23">
        <f>IFERROR((Data!K37-Data!K47)-Data!K38,"-")</f>
        <v/>
      </c>
      <c r="L50" s="23">
        <f>IFERROR((Data!L37-Data!L47)-Data!L38,"-")</f>
        <v/>
      </c>
      <c r="M50" s="261" t="n"/>
      <c r="N50" s="220" t="n"/>
      <c r="O50" s="220" t="n"/>
      <c r="P50" s="220" t="n"/>
      <c r="Q50" s="220" t="n"/>
      <c r="R50" s="220" t="n"/>
      <c r="S50" s="220" t="n"/>
      <c r="T50" s="220" t="n"/>
      <c r="U50" s="220" t="n"/>
      <c r="V50" s="258" t="n"/>
      <c r="W50" s="258" t="n"/>
      <c r="X50" s="461" t="n"/>
      <c r="Y50" s="461" t="n"/>
    </row>
    <row r="51" ht="15" customHeight="1" s="74">
      <c r="A51" s="17" t="inlineStr">
        <is>
          <t>Cash Ratio</t>
        </is>
      </c>
      <c r="B51" s="93">
        <f>IFERROR(Data!B32/Data!B38,"-")</f>
        <v/>
      </c>
      <c r="C51" s="93">
        <f>IFERROR(Data!C32/Data!C38,"-")</f>
        <v/>
      </c>
      <c r="D51" s="93">
        <f>IFERROR(Data!D32/Data!D38,"-")</f>
        <v/>
      </c>
      <c r="E51" s="93">
        <f>IFERROR(Data!E32/Data!E38,"-")</f>
        <v/>
      </c>
      <c r="F51" s="93">
        <f>IFERROR(Data!F32/Data!F38,"-")</f>
        <v/>
      </c>
      <c r="G51" s="93">
        <f>IFERROR(Data!G32/Data!G38,"-")</f>
        <v/>
      </c>
      <c r="H51" s="93">
        <f>IFERROR(Data!H32/Data!H38,"-")</f>
        <v/>
      </c>
      <c r="I51" s="93">
        <f>IFERROR(Data!I32/Data!I38,"-")</f>
        <v/>
      </c>
      <c r="J51" s="93">
        <f>IFERROR(Data!J32/Data!J38,"-")</f>
        <v/>
      </c>
      <c r="K51" s="93">
        <f>IFERROR(Data!K32/Data!K38,"-")</f>
        <v/>
      </c>
      <c r="L51" s="93">
        <f>IFERROR(Data!L32/Data!L38,"-")</f>
        <v/>
      </c>
      <c r="M51" s="261" t="n"/>
      <c r="N51" s="244">
        <f>IFERROR(IF(OR(NOT(ISNUMBER(Data!N32)),NOT(ISNUMBER(Data!N38))),"-",Data!N32/Data!N38),"-")</f>
        <v/>
      </c>
      <c r="O51" s="244">
        <f>IFERROR(IF(OR(NOT(ISNUMBER(Data!O32)),NOT(ISNUMBER(Data!O38))),"-",Data!O32/Data!O38),"-")</f>
        <v/>
      </c>
      <c r="P51" s="244">
        <f>IFERROR(IF(OR(NOT(ISNUMBER(Data!P32)),NOT(ISNUMBER(Data!P38))),"-",Data!P32/Data!P38),"-")</f>
        <v/>
      </c>
      <c r="Q51" s="244">
        <f>IFERROR(IF(OR(NOT(ISNUMBER(Data!Q32)),NOT(ISNUMBER(Data!Q38))),"-",Data!Q32/Data!Q38),"-")</f>
        <v/>
      </c>
      <c r="R51" s="244">
        <f>IFERROR(IF(OR(NOT(ISNUMBER(Data!R32)),NOT(ISNUMBER(Data!R38))),"-",Data!R32/Data!R38),"-")</f>
        <v/>
      </c>
      <c r="S51" s="244">
        <f>IFERROR(IF(OR(NOT(ISNUMBER(Data!S32)),NOT(ISNUMBER(Data!S38))),"-",Data!S32/Data!S38),"-")</f>
        <v/>
      </c>
      <c r="T51" s="244">
        <f>IFERROR(IF(OR(NOT(ISNUMBER(Data!T32)),NOT(ISNUMBER(Data!T38))),"-",Data!T32/Data!T38),"-")</f>
        <v/>
      </c>
      <c r="U51" s="244">
        <f>IFERROR(IF(OR(NOT(ISNUMBER(Data!U32)),NOT(ISNUMBER(Data!U38))),"-",Data!U32/Data!U38),"-")</f>
        <v/>
      </c>
      <c r="V51" s="256">
        <f>IFERROR(IF(OR(NOT(ISNUMBER(Data!V32)),NOT(ISNUMBER(Data!V38))),"-",Data!V32/Data!V38),"-")</f>
        <v/>
      </c>
      <c r="W51" s="256">
        <f>IFERROR(IF(OR(NOT(ISNUMBER(Data!W32)),NOT(ISNUMBER(Data!W38))),"-",Data!W32/Data!W38),"-")</f>
        <v/>
      </c>
      <c r="X51" s="461">
        <f>IFERROR(IF(OR(NOT(ISNUMBER(Data!X32)),NOT(ISNUMBER(Data!X38))),"-",Data!X32/Data!X38),"-")</f>
        <v/>
      </c>
      <c r="Y51" s="461">
        <f>IFERROR(IF(OR(NOT(ISNUMBER(Data!Y32)),NOT(ISNUMBER(Data!Y38))),"-",Data!Y32/Data!Y38),"-")</f>
        <v/>
      </c>
    </row>
    <row r="52" ht="15" customHeight="1" s="74">
      <c r="A52" s="15" t="inlineStr">
        <is>
          <t>Cash Margin ($M)</t>
        </is>
      </c>
      <c r="B52" s="23">
        <f>IFERROR(Data!B32-Data!B38,"-")</f>
        <v/>
      </c>
      <c r="C52" s="23">
        <f>IFERROR(Data!C32-Data!C38,"-")</f>
        <v/>
      </c>
      <c r="D52" s="23">
        <f>IFERROR(Data!D32-Data!D38,"-")</f>
        <v/>
      </c>
      <c r="E52" s="23">
        <f>IFERROR(Data!E32-Data!E38,"-")</f>
        <v/>
      </c>
      <c r="F52" s="23">
        <f>IFERROR(Data!F32-Data!F38,"-")</f>
        <v/>
      </c>
      <c r="G52" s="23">
        <f>IFERROR(Data!G32-Data!G38,"-")</f>
        <v/>
      </c>
      <c r="H52" s="23">
        <f>IFERROR(Data!H32-Data!H38,"-")</f>
        <v/>
      </c>
      <c r="I52" s="23">
        <f>IFERROR(Data!I32-Data!I38,"-")</f>
        <v/>
      </c>
      <c r="J52" s="23">
        <f>IFERROR(Data!J32-Data!J38,"-")</f>
        <v/>
      </c>
      <c r="K52" s="23">
        <f>IFERROR(Data!K32-Data!K38,"-")</f>
        <v/>
      </c>
      <c r="L52" s="23">
        <f>IFERROR(Data!L32-Data!L38,"-")</f>
        <v/>
      </c>
      <c r="M52" s="261" t="n"/>
      <c r="N52" s="220" t="n"/>
      <c r="O52" s="220" t="n"/>
      <c r="P52" s="220" t="n"/>
      <c r="Q52" s="220" t="n"/>
      <c r="R52" s="220" t="n"/>
      <c r="S52" s="220" t="n"/>
      <c r="T52" s="220" t="n"/>
      <c r="U52" s="220" t="n"/>
      <c r="V52" s="258" t="n"/>
      <c r="W52" s="258" t="n"/>
      <c r="X52" s="461" t="n"/>
      <c r="Y52" s="461" t="n"/>
    </row>
    <row r="53" ht="15" customHeight="1" s="74">
      <c r="A53" s="17" t="inlineStr">
        <is>
          <t>Immediate Liquidity Index</t>
        </is>
      </c>
      <c r="B53" s="81">
        <f>IFERROR(Data!B32/Data!B39,"-")</f>
        <v/>
      </c>
      <c r="C53" s="81">
        <f>IFERROR(Data!C32/Data!C39,"-")</f>
        <v/>
      </c>
      <c r="D53" s="81">
        <f>IFERROR(Data!D32/Data!D39,"-")</f>
        <v/>
      </c>
      <c r="E53" s="81">
        <f>IFERROR(Data!E32/Data!E39,"-")</f>
        <v/>
      </c>
      <c r="F53" s="81">
        <f>IFERROR(Data!F32/Data!F39,"-")</f>
        <v/>
      </c>
      <c r="G53" s="81">
        <f>IFERROR(Data!G32/Data!G39,"-")</f>
        <v/>
      </c>
      <c r="H53" s="81">
        <f>IFERROR(Data!H32/Data!H39,"-")</f>
        <v/>
      </c>
      <c r="I53" s="81">
        <f>IFERROR(Data!I32/Data!I39,"-")</f>
        <v/>
      </c>
      <c r="J53" s="81">
        <f>IFERROR(Data!J32/Data!J39,"-")</f>
        <v/>
      </c>
      <c r="K53" s="81">
        <f>IFERROR(Data!K32/Data!K39,"-")</f>
        <v/>
      </c>
      <c r="L53" s="81">
        <f>IFERROR(Data!L32/Data!L39,"-")</f>
        <v/>
      </c>
      <c r="M53" s="261" t="n"/>
      <c r="N53" s="249" t="n"/>
      <c r="O53" s="249" t="n"/>
      <c r="P53" s="249" t="n"/>
      <c r="Q53" s="249" t="n"/>
      <c r="R53" s="249" t="n"/>
      <c r="S53" s="249" t="n"/>
      <c r="T53" s="249" t="n"/>
      <c r="U53" s="249" t="n"/>
      <c r="V53" s="256" t="n"/>
      <c r="W53" s="256" t="n"/>
      <c r="X53" s="461" t="n"/>
      <c r="Y53" s="461" t="n"/>
    </row>
    <row r="54" ht="15" customHeight="1" s="74">
      <c r="A54" s="15" t="inlineStr">
        <is>
          <t>Inventory Index</t>
        </is>
      </c>
      <c r="B54" s="84">
        <f>IFERROR(Data!B47/Data!B39,"-")</f>
        <v/>
      </c>
      <c r="C54" s="84">
        <f>IFERROR(Data!C47/Data!C39,"-")</f>
        <v/>
      </c>
      <c r="D54" s="84">
        <f>IFERROR(Data!D47/Data!D39,"-")</f>
        <v/>
      </c>
      <c r="E54" s="84">
        <f>IFERROR(Data!E47/Data!E39,"-")</f>
        <v/>
      </c>
      <c r="F54" s="84">
        <f>IFERROR(Data!F47/Data!F39,"-")</f>
        <v/>
      </c>
      <c r="G54" s="84">
        <f>IFERROR(Data!G47/Data!G39,"-")</f>
        <v/>
      </c>
      <c r="H54" s="84">
        <f>IFERROR(Data!H47/Data!H39,"-")</f>
        <v/>
      </c>
      <c r="I54" s="84">
        <f>IFERROR(Data!I47/Data!I39,"-")</f>
        <v/>
      </c>
      <c r="J54" s="84">
        <f>IFERROR(Data!J47/Data!J39,"-")</f>
        <v/>
      </c>
      <c r="K54" s="84">
        <f>IFERROR(Data!K47/Data!K39,"-")</f>
        <v/>
      </c>
      <c r="L54" s="84">
        <f>IFERROR(Data!L47/Data!L39,"-")</f>
        <v/>
      </c>
      <c r="M54" s="261" t="n"/>
      <c r="N54" s="250" t="n"/>
      <c r="O54" s="250" t="n"/>
      <c r="P54" s="250" t="n"/>
      <c r="Q54" s="250" t="n"/>
      <c r="R54" s="250" t="n"/>
      <c r="S54" s="250" t="n"/>
      <c r="T54" s="250" t="n"/>
      <c r="U54" s="250" t="n"/>
      <c r="V54" s="258" t="n"/>
      <c r="W54" s="258" t="n"/>
      <c r="X54" s="461" t="n"/>
      <c r="Y54" s="461" t="n"/>
    </row>
    <row r="55">
      <c r="A55" s="2" t="n"/>
      <c r="B55" s="2" t="n"/>
      <c r="C55" s="2" t="n"/>
      <c r="D55" s="2" t="n"/>
      <c r="E55" s="2" t="n"/>
      <c r="F55" s="2" t="n"/>
      <c r="G55" s="2" t="n"/>
      <c r="H55" s="2" t="n"/>
      <c r="I55" s="2" t="n"/>
      <c r="J55" s="2" t="n"/>
      <c r="K55" s="2" t="n"/>
      <c r="L55" s="2" t="n"/>
      <c r="N55" s="2" t="n"/>
      <c r="O55" s="2" t="n"/>
      <c r="P55" s="2" t="n"/>
      <c r="Q55" s="2" t="n"/>
      <c r="R55" s="2" t="n"/>
      <c r="S55" s="2" t="n"/>
      <c r="T55" s="2" t="n"/>
      <c r="U55" s="2" t="n"/>
    </row>
    <row r="56" ht="19" customHeight="1" s="74">
      <c r="A56" s="226" t="inlineStr">
        <is>
          <t>EFFICIENCY &amp; ACTIVITY RATIOS</t>
        </is>
      </c>
    </row>
    <row r="57" ht="15" customHeight="1" s="74">
      <c r="A57" s="14" t="inlineStr">
        <is>
          <t>Period</t>
        </is>
      </c>
      <c r="B57" s="14">
        <f>Data!B13</f>
        <v/>
      </c>
      <c r="C57" s="14">
        <f>Data!C13</f>
        <v/>
      </c>
      <c r="D57" s="14">
        <f>Data!D13</f>
        <v/>
      </c>
      <c r="E57" s="14">
        <f>Data!E13</f>
        <v/>
      </c>
      <c r="F57" s="14">
        <f>Data!F13</f>
        <v/>
      </c>
      <c r="G57" s="14">
        <f>Data!G13</f>
        <v/>
      </c>
      <c r="H57" s="14">
        <f>Data!H13</f>
        <v/>
      </c>
      <c r="I57" s="14">
        <f>Data!I13</f>
        <v/>
      </c>
      <c r="J57" s="14">
        <f>Data!J13</f>
        <v/>
      </c>
      <c r="K57" s="14">
        <f>Data!K13</f>
        <v/>
      </c>
      <c r="L57" s="14">
        <f>Data!L13</f>
        <v/>
      </c>
      <c r="N57" s="265" t="n"/>
      <c r="O57" s="265" t="n"/>
      <c r="P57" s="265" t="n"/>
      <c r="Q57" s="265" t="n"/>
      <c r="R57" s="265" t="n"/>
      <c r="S57" s="265" t="n"/>
      <c r="T57" s="265" t="n"/>
      <c r="U57" s="265" t="n"/>
      <c r="V57" s="265" t="n"/>
      <c r="W57" s="265" t="n"/>
      <c r="X57" s="265" t="n"/>
      <c r="Y57" s="265" t="n"/>
    </row>
    <row r="58" ht="15" customHeight="1" s="74">
      <c r="A58" s="15" t="inlineStr">
        <is>
          <t>Inventory Turnover</t>
        </is>
      </c>
      <c r="B58" s="83" t="n"/>
      <c r="C58" s="83">
        <f>IFERROR(IF(OR(NOT(ISNUMBER(Data!C15)),NOT(ISNUMBER(Data!C47)),NOT(ISNUMBER(Data!B47))),"-",Data!C15/((Data!C47+Data!B47)/2)),"-")</f>
        <v/>
      </c>
      <c r="D58" s="83">
        <f>IFERROR(IF(OR(NOT(ISNUMBER(Data!D15)),NOT(ISNUMBER(Data!D47)),NOT(ISNUMBER(Data!C47))),"-",Data!D15/((Data!D47+Data!C47)/2)),"-")</f>
        <v/>
      </c>
      <c r="E58" s="83">
        <f>IFERROR(IF(OR(NOT(ISNUMBER(Data!E15)),NOT(ISNUMBER(Data!E47)),NOT(ISNUMBER(Data!D47))),"-",Data!E15/((Data!E47+Data!D47)/2)),"-")</f>
        <v/>
      </c>
      <c r="F58" s="83">
        <f>IFERROR(IF(OR(NOT(ISNUMBER(Data!F15)),NOT(ISNUMBER(Data!F47)),NOT(ISNUMBER(Data!E47))),"-",Data!F15/((Data!F47+Data!E47)/2)),"-")</f>
        <v/>
      </c>
      <c r="G58" s="83">
        <f>IFERROR(IF(OR(NOT(ISNUMBER(Data!G15)),NOT(ISNUMBER(Data!G47)),NOT(ISNUMBER(Data!F47))),"-",Data!G15/((Data!G47+Data!F47)/2)),"-")</f>
        <v/>
      </c>
      <c r="H58" s="83">
        <f>IFERROR(IF(OR(NOT(ISNUMBER(Data!H15)),NOT(ISNUMBER(Data!H47)),NOT(ISNUMBER(Data!G47))),"-",Data!H15/((Data!H47+Data!G47)/2)),"-")</f>
        <v/>
      </c>
      <c r="I58" s="83">
        <f>IFERROR(IF(OR(NOT(ISNUMBER(Data!I15)),NOT(ISNUMBER(Data!I47)),NOT(ISNUMBER(Data!H47))),"-",Data!I15/((Data!I47+Data!H47)/2)),"-")</f>
        <v/>
      </c>
      <c r="J58" s="83">
        <f>IFERROR(IF(OR(NOT(ISNUMBER(Data!J15)),NOT(ISNUMBER(Data!J47)),NOT(ISNUMBER(Data!I47))),"-",Data!J15/((Data!J47+Data!I47)/2)),"-")</f>
        <v/>
      </c>
      <c r="K58" s="83">
        <f>IFERROR(IF(OR(NOT(ISNUMBER(Data!K15)),NOT(ISNUMBER(Data!K47)),NOT(ISNUMBER(Data!J47))),"-",Data!K15/((Data!K47+Data!J47)/2)),"-")</f>
        <v/>
      </c>
      <c r="L58" s="83">
        <f>IFERROR(IF(OR(NOT(ISNUMBER(Data!L15)),NOT(ISNUMBER(Data!L47)),NOT(ISNUMBER(Data!K47))),"-",Data!L15/((Data!L47+Data!K47)/2)),"-")</f>
        <v/>
      </c>
      <c r="M58" s="261" t="n"/>
      <c r="N58" s="269" t="n"/>
      <c r="O58" s="269" t="n"/>
      <c r="P58" s="269" t="n"/>
      <c r="Q58" s="269" t="n"/>
      <c r="R58" s="269" t="n"/>
      <c r="S58" s="269" t="n"/>
      <c r="T58" s="269" t="n"/>
      <c r="U58" s="269" t="n"/>
      <c r="V58" s="261" t="n"/>
      <c r="W58" s="261" t="n"/>
      <c r="X58" s="465" t="n"/>
      <c r="Y58" s="465" t="n"/>
    </row>
    <row r="59" ht="15" customHeight="1" s="74">
      <c r="A59" s="17" t="inlineStr">
        <is>
          <t>Days Inventory Outstanding</t>
        </is>
      </c>
      <c r="B59" s="93" t="n"/>
      <c r="C59" s="93">
        <f>IFERROR(IF(OR(NOT(ISNUMBER(Data!C47)),NOT(ISNUMBER(Data!B47)),NOT(ISNUMBER(Data!C15))),"-",((Data!C47+Data!B47)/2)/Data!C15*365),"-")</f>
        <v/>
      </c>
      <c r="D59" s="93">
        <f>IFERROR(IF(OR(NOT(ISNUMBER(Data!D47)),NOT(ISNUMBER(Data!C47)),NOT(ISNUMBER(Data!D15))),"-",((Data!D47+Data!C47)/2)/Data!D15*365),"-")</f>
        <v/>
      </c>
      <c r="E59" s="93">
        <f>IFERROR(IF(OR(NOT(ISNUMBER(Data!E47)),NOT(ISNUMBER(Data!D47)),NOT(ISNUMBER(Data!E15))),"-",((Data!E47+Data!D47)/2)/Data!E15*365),"-")</f>
        <v/>
      </c>
      <c r="F59" s="93">
        <f>IFERROR(IF(OR(NOT(ISNUMBER(Data!F47)),NOT(ISNUMBER(Data!E47)),NOT(ISNUMBER(Data!F15))),"-",((Data!F47+Data!E47)/2)/Data!F15*365),"-")</f>
        <v/>
      </c>
      <c r="G59" s="93">
        <f>IFERROR(IF(OR(NOT(ISNUMBER(Data!G47)),NOT(ISNUMBER(Data!F47)),NOT(ISNUMBER(Data!G15))),"-",((Data!G47+Data!F47)/2)/Data!G15*365),"-")</f>
        <v/>
      </c>
      <c r="H59" s="93">
        <f>IFERROR(IF(OR(NOT(ISNUMBER(Data!H47)),NOT(ISNUMBER(Data!G47)),NOT(ISNUMBER(Data!H15))),"-",((Data!H47+Data!G47)/2)/Data!H15*365),"-")</f>
        <v/>
      </c>
      <c r="I59" s="93">
        <f>IFERROR(IF(OR(NOT(ISNUMBER(Data!I47)),NOT(ISNUMBER(Data!H47)),NOT(ISNUMBER(Data!I15))),"-",((Data!I47+Data!H47)/2)/Data!I15*365),"-")</f>
        <v/>
      </c>
      <c r="J59" s="93">
        <f>IFERROR(IF(OR(NOT(ISNUMBER(Data!J47)),NOT(ISNUMBER(Data!I47)),NOT(ISNUMBER(Data!J15))),"-",((Data!J47+Data!I47)/2)/Data!J15*365),"-")</f>
        <v/>
      </c>
      <c r="K59" s="93">
        <f>IFERROR(IF(OR(NOT(ISNUMBER(Data!K47)),NOT(ISNUMBER(Data!J47)),NOT(ISNUMBER(Data!K15))),"-",((Data!K47+Data!J47)/2)/Data!K15*365),"-")</f>
        <v/>
      </c>
      <c r="L59" s="93">
        <f>IFERROR(IF(OR(NOT(ISNUMBER(Data!L47)),NOT(ISNUMBER(Data!K47)),NOT(ISNUMBER(Data!L15))),"-",((Data!L47+Data!K47)/2)/Data!L15*365),"-")</f>
        <v/>
      </c>
      <c r="M59" s="261" t="n"/>
      <c r="N59" s="269" t="n"/>
      <c r="O59" s="269" t="n"/>
      <c r="P59" s="269" t="n"/>
      <c r="Q59" s="269" t="n"/>
      <c r="R59" s="269" t="n"/>
      <c r="S59" s="269" t="n"/>
      <c r="T59" s="269" t="n"/>
      <c r="U59" s="269" t="n"/>
      <c r="V59" s="261" t="n"/>
      <c r="W59" s="261" t="n"/>
      <c r="X59" s="465" t="n"/>
      <c r="Y59" s="465" t="n"/>
    </row>
    <row r="60" ht="15" customHeight="1" s="74">
      <c r="A60" s="15" t="inlineStr">
        <is>
          <t>Receivables Turnover</t>
        </is>
      </c>
      <c r="B60" s="83" t="n"/>
      <c r="C60" s="83">
        <f>IFERROR(IF(OR(NOT(ISNUMBER(Data!C14)),NOT(ISNUMBER(Data!C45)),NOT(ISNUMBER(Data!B45))),"-",Data!C14/((Data!C45+Data!B45)/2)),"-")</f>
        <v/>
      </c>
      <c r="D60" s="83">
        <f>IFERROR(IF(OR(NOT(ISNUMBER(Data!D14)),NOT(ISNUMBER(Data!D45)),NOT(ISNUMBER(Data!C45))),"-",Data!D14/((Data!D45+Data!C45)/2)),"-")</f>
        <v/>
      </c>
      <c r="E60" s="83">
        <f>IFERROR(IF(OR(NOT(ISNUMBER(Data!E14)),NOT(ISNUMBER(Data!E45)),NOT(ISNUMBER(Data!D45))),"-",Data!E14/((Data!E45+Data!D45)/2)),"-")</f>
        <v/>
      </c>
      <c r="F60" s="83">
        <f>IFERROR(IF(OR(NOT(ISNUMBER(Data!F14)),NOT(ISNUMBER(Data!F45)),NOT(ISNUMBER(Data!E45))),"-",Data!F14/((Data!F45+Data!E45)/2)),"-")</f>
        <v/>
      </c>
      <c r="G60" s="83">
        <f>IFERROR(IF(OR(NOT(ISNUMBER(Data!G14)),NOT(ISNUMBER(Data!G45)),NOT(ISNUMBER(Data!F45))),"-",Data!G14/((Data!G45+Data!F45)/2)),"-")</f>
        <v/>
      </c>
      <c r="H60" s="83">
        <f>IFERROR(IF(OR(NOT(ISNUMBER(Data!H14)),NOT(ISNUMBER(Data!H45)),NOT(ISNUMBER(Data!G45))),"-",Data!H14/((Data!H45+Data!G45)/2)),"-")</f>
        <v/>
      </c>
      <c r="I60" s="83">
        <f>IFERROR(IF(OR(NOT(ISNUMBER(Data!I14)),NOT(ISNUMBER(Data!I45)),NOT(ISNUMBER(Data!H45))),"-",Data!I14/((Data!I45+Data!H45)/2)),"-")</f>
        <v/>
      </c>
      <c r="J60" s="83">
        <f>IFERROR(IF(OR(NOT(ISNUMBER(Data!J14)),NOT(ISNUMBER(Data!J45)),NOT(ISNUMBER(Data!I45))),"-",Data!J14/((Data!J45+Data!I45)/2)),"-")</f>
        <v/>
      </c>
      <c r="K60" s="83">
        <f>IFERROR(IF(OR(NOT(ISNUMBER(Data!K14)),NOT(ISNUMBER(Data!K45)),NOT(ISNUMBER(Data!J45))),"-",Data!K14/((Data!K45+Data!J45)/2)),"-")</f>
        <v/>
      </c>
      <c r="L60" s="83">
        <f>IFERROR(IF(OR(NOT(ISNUMBER(Data!L14)),NOT(ISNUMBER(Data!L45)),NOT(ISNUMBER(Data!K45))),"-",Data!L14/((Data!L45+Data!K45)/2)),"-")</f>
        <v/>
      </c>
      <c r="M60" s="261" t="n"/>
      <c r="N60" s="269" t="n"/>
      <c r="O60" s="269" t="n"/>
      <c r="P60" s="269" t="n"/>
      <c r="Q60" s="269" t="n"/>
      <c r="R60" s="269" t="n"/>
      <c r="S60" s="269" t="n"/>
      <c r="T60" s="269" t="n"/>
      <c r="U60" s="269" t="n"/>
      <c r="V60" s="261" t="n"/>
      <c r="W60" s="261" t="n"/>
      <c r="X60" s="465" t="n"/>
      <c r="Y60" s="465" t="n"/>
    </row>
    <row r="61" ht="15" customHeight="1" s="74">
      <c r="A61" s="17" t="inlineStr">
        <is>
          <t>Days Sales Outstanding</t>
        </is>
      </c>
      <c r="B61" s="93" t="n"/>
      <c r="C61" s="93">
        <f>IFERROR(IF(OR(NOT(ISNUMBER(Data!C45)),NOT(ISNUMBER(Data!B45)),NOT(ISNUMBER(Data!C14))),"-",((Data!C45+Data!B45)/2)/Data!C14*365),"-")</f>
        <v/>
      </c>
      <c r="D61" s="93">
        <f>IFERROR(IF(OR(NOT(ISNUMBER(Data!D45)),NOT(ISNUMBER(Data!C45)),NOT(ISNUMBER(Data!D14))),"-",((Data!D45+Data!C45)/2)/Data!D14*365),"-")</f>
        <v/>
      </c>
      <c r="E61" s="93">
        <f>IFERROR(IF(OR(NOT(ISNUMBER(Data!E45)),NOT(ISNUMBER(Data!D45)),NOT(ISNUMBER(Data!E14))),"-",((Data!E45+Data!D45)/2)/Data!E14*365),"-")</f>
        <v/>
      </c>
      <c r="F61" s="93">
        <f>IFERROR(IF(OR(NOT(ISNUMBER(Data!F45)),NOT(ISNUMBER(Data!E45)),NOT(ISNUMBER(Data!F14))),"-",((Data!F45+Data!E45)/2)/Data!F14*365),"-")</f>
        <v/>
      </c>
      <c r="G61" s="93">
        <f>IFERROR(IF(OR(NOT(ISNUMBER(Data!G45)),NOT(ISNUMBER(Data!F45)),NOT(ISNUMBER(Data!G14))),"-",((Data!G45+Data!F45)/2)/Data!G14*365),"-")</f>
        <v/>
      </c>
      <c r="H61" s="93">
        <f>IFERROR(IF(OR(NOT(ISNUMBER(Data!H45)),NOT(ISNUMBER(Data!G45)),NOT(ISNUMBER(Data!H14))),"-",((Data!H45+Data!G45)/2)/Data!H14*365),"-")</f>
        <v/>
      </c>
      <c r="I61" s="93">
        <f>IFERROR(IF(OR(NOT(ISNUMBER(Data!I45)),NOT(ISNUMBER(Data!H45)),NOT(ISNUMBER(Data!I14))),"-",((Data!I45+Data!H45)/2)/Data!I14*365),"-")</f>
        <v/>
      </c>
      <c r="J61" s="93">
        <f>IFERROR(IF(OR(NOT(ISNUMBER(Data!J45)),NOT(ISNUMBER(Data!I45)),NOT(ISNUMBER(Data!J14))),"-",((Data!J45+Data!I45)/2)/Data!J14*365),"-")</f>
        <v/>
      </c>
      <c r="K61" s="93">
        <f>IFERROR(IF(OR(NOT(ISNUMBER(Data!K45)),NOT(ISNUMBER(Data!J45)),NOT(ISNUMBER(Data!K14))),"-",((Data!K45+Data!J45)/2)/Data!K14*365),"-")</f>
        <v/>
      </c>
      <c r="L61" s="93">
        <f>IFERROR(IF(OR(NOT(ISNUMBER(Data!L45)),NOT(ISNUMBER(Data!K45)),NOT(ISNUMBER(Data!L14))),"-",((Data!L45+Data!K45)/2)/Data!L14*365),"-")</f>
        <v/>
      </c>
      <c r="M61" s="261" t="n"/>
      <c r="N61" s="269" t="n"/>
      <c r="O61" s="269" t="n"/>
      <c r="P61" s="269" t="n"/>
      <c r="Q61" s="269" t="n"/>
      <c r="R61" s="269" t="n"/>
      <c r="S61" s="269" t="n"/>
      <c r="T61" s="269" t="n"/>
      <c r="U61" s="269" t="n"/>
      <c r="V61" s="261" t="n"/>
      <c r="W61" s="261" t="n"/>
      <c r="X61" s="465" t="n"/>
      <c r="Y61" s="465" t="n"/>
    </row>
    <row r="62" ht="15" customHeight="1" s="74">
      <c r="A62" s="15" t="inlineStr">
        <is>
          <t>Payables Turnover</t>
        </is>
      </c>
      <c r="B62" s="83" t="n"/>
      <c r="C62" s="83">
        <f>IFERROR(IF(OR(NOT(ISNUMBER(Data!C15)),NOT(ISNUMBER(Data!C46)),NOT(ISNUMBER(Data!B46))),"-",Data!C15/((Data!C46+Data!B46)/2)),"-")</f>
        <v/>
      </c>
      <c r="D62" s="83">
        <f>IFERROR(IF(OR(NOT(ISNUMBER(Data!D15)),NOT(ISNUMBER(Data!D46)),NOT(ISNUMBER(Data!C46))),"-",Data!D15/((Data!D46+Data!C46)/2)),"-")</f>
        <v/>
      </c>
      <c r="E62" s="83">
        <f>IFERROR(IF(OR(NOT(ISNUMBER(Data!E15)),NOT(ISNUMBER(Data!E46)),NOT(ISNUMBER(Data!D46))),"-",Data!E15/((Data!E46+Data!D46)/2)),"-")</f>
        <v/>
      </c>
      <c r="F62" s="83">
        <f>IFERROR(IF(OR(NOT(ISNUMBER(Data!F15)),NOT(ISNUMBER(Data!F46)),NOT(ISNUMBER(Data!E46))),"-",Data!F15/((Data!F46+Data!E46)/2)),"-")</f>
        <v/>
      </c>
      <c r="G62" s="83">
        <f>IFERROR(IF(OR(NOT(ISNUMBER(Data!G15)),NOT(ISNUMBER(Data!G46)),NOT(ISNUMBER(Data!F46))),"-",Data!G15/((Data!G46+Data!F46)/2)),"-")</f>
        <v/>
      </c>
      <c r="H62" s="83">
        <f>IFERROR(IF(OR(NOT(ISNUMBER(Data!H15)),NOT(ISNUMBER(Data!H46)),NOT(ISNUMBER(Data!G46))),"-",Data!H15/((Data!H46+Data!G46)/2)),"-")</f>
        <v/>
      </c>
      <c r="I62" s="83">
        <f>IFERROR(IF(OR(NOT(ISNUMBER(Data!I15)),NOT(ISNUMBER(Data!I46)),NOT(ISNUMBER(Data!H46))),"-",Data!I15/((Data!I46+Data!H46)/2)),"-")</f>
        <v/>
      </c>
      <c r="J62" s="83">
        <f>IFERROR(IF(OR(NOT(ISNUMBER(Data!J15)),NOT(ISNUMBER(Data!J46)),NOT(ISNUMBER(Data!I46))),"-",Data!J15/((Data!J46+Data!I46)/2)),"-")</f>
        <v/>
      </c>
      <c r="K62" s="83">
        <f>IFERROR(IF(OR(NOT(ISNUMBER(Data!K15)),NOT(ISNUMBER(Data!K46)),NOT(ISNUMBER(Data!J46))),"-",Data!K15/((Data!K46+Data!J46)/2)),"-")</f>
        <v/>
      </c>
      <c r="L62" s="83">
        <f>IFERROR(IF(OR(NOT(ISNUMBER(Data!L15)),NOT(ISNUMBER(Data!L46)),NOT(ISNUMBER(Data!K46))),"-",Data!L15/((Data!L46+Data!K46)/2)),"-")</f>
        <v/>
      </c>
      <c r="M62" s="261" t="n"/>
      <c r="N62" s="269" t="n"/>
      <c r="O62" s="269" t="n"/>
      <c r="P62" s="269" t="n"/>
      <c r="Q62" s="269" t="n"/>
      <c r="R62" s="269" t="n"/>
      <c r="S62" s="269" t="n"/>
      <c r="T62" s="269" t="n"/>
      <c r="U62" s="269" t="n"/>
      <c r="V62" s="261" t="n"/>
      <c r="W62" s="261" t="n"/>
      <c r="X62" s="465" t="n"/>
      <c r="Y62" s="465" t="n"/>
    </row>
    <row r="63" ht="15" customHeight="1" s="74">
      <c r="A63" s="17" t="inlineStr">
        <is>
          <t>Days Payables Outstanding</t>
        </is>
      </c>
      <c r="B63" s="93" t="n"/>
      <c r="C63" s="93">
        <f>IFERROR(IF(OR(NOT(ISNUMBER(Data!C46)),NOT(ISNUMBER(Data!B46)),NOT(ISNUMBER(Data!C15))),"-",((Data!C46+Data!B46)/2)/Data!C15*365),"-")</f>
        <v/>
      </c>
      <c r="D63" s="93">
        <f>IFERROR(IF(OR(NOT(ISNUMBER(Data!D46)),NOT(ISNUMBER(Data!C46)),NOT(ISNUMBER(Data!D15))),"-",((Data!D46+Data!C46)/2)/Data!D15*365),"-")</f>
        <v/>
      </c>
      <c r="E63" s="93">
        <f>IFERROR(IF(OR(NOT(ISNUMBER(Data!E46)),NOT(ISNUMBER(Data!D46)),NOT(ISNUMBER(Data!E15))),"-",((Data!E46+Data!D46)/2)/Data!E15*365),"-")</f>
        <v/>
      </c>
      <c r="F63" s="93">
        <f>IFERROR(IF(OR(NOT(ISNUMBER(Data!F46)),NOT(ISNUMBER(Data!E46)),NOT(ISNUMBER(Data!F15))),"-",((Data!F46+Data!E46)/2)/Data!F15*365),"-")</f>
        <v/>
      </c>
      <c r="G63" s="93">
        <f>IFERROR(IF(OR(NOT(ISNUMBER(Data!G46)),NOT(ISNUMBER(Data!F46)),NOT(ISNUMBER(Data!G15))),"-",((Data!G46+Data!F46)/2)/Data!G15*365),"-")</f>
        <v/>
      </c>
      <c r="H63" s="93">
        <f>IFERROR(IF(OR(NOT(ISNUMBER(Data!H46)),NOT(ISNUMBER(Data!G46)),NOT(ISNUMBER(Data!H15))),"-",((Data!H46+Data!G46)/2)/Data!H15*365),"-")</f>
        <v/>
      </c>
      <c r="I63" s="93">
        <f>IFERROR(IF(OR(NOT(ISNUMBER(Data!I46)),NOT(ISNUMBER(Data!H46)),NOT(ISNUMBER(Data!I15))),"-",((Data!I46+Data!H46)/2)/Data!I15*365),"-")</f>
        <v/>
      </c>
      <c r="J63" s="93">
        <f>IFERROR(IF(OR(NOT(ISNUMBER(Data!J46)),NOT(ISNUMBER(Data!I46)),NOT(ISNUMBER(Data!J15))),"-",((Data!J46+Data!I46)/2)/Data!J15*365),"-")</f>
        <v/>
      </c>
      <c r="K63" s="93">
        <f>IFERROR(IF(OR(NOT(ISNUMBER(Data!K46)),NOT(ISNUMBER(Data!J46)),NOT(ISNUMBER(Data!K15))),"-",((Data!K46+Data!J46)/2)/Data!K15*365),"-")</f>
        <v/>
      </c>
      <c r="L63" s="93">
        <f>IFERROR(IF(OR(NOT(ISNUMBER(Data!L46)),NOT(ISNUMBER(Data!K46)),NOT(ISNUMBER(Data!L15))),"-",((Data!L46+Data!K46)/2)/Data!L15*365),"-")</f>
        <v/>
      </c>
      <c r="M63" s="261" t="n"/>
      <c r="N63" s="269" t="n"/>
      <c r="O63" s="269" t="n"/>
      <c r="P63" s="269" t="n"/>
      <c r="Q63" s="269" t="n"/>
      <c r="R63" s="269" t="n"/>
      <c r="S63" s="269" t="n"/>
      <c r="T63" s="269" t="n"/>
      <c r="U63" s="269" t="n"/>
      <c r="V63" s="261" t="n"/>
      <c r="W63" s="261" t="n"/>
      <c r="X63" s="465" t="n"/>
      <c r="Y63" s="465" t="n"/>
    </row>
    <row r="64" ht="15" customHeight="1" s="74">
      <c r="A64" s="15" t="inlineStr">
        <is>
          <t>Cash Conversion Cycle (days)</t>
        </is>
      </c>
      <c r="B64" s="83" t="n"/>
      <c r="C64" s="83">
        <f>IFERROR(IF(OR(NOT(ISNUMBER(Metrics!C59)),NOT(ISNUMBER(Metrics!C61)),NOT(ISNUMBER(Metrics!C63))),"-",Metrics!C59+Metrics!C61-Metrics!C63),"-")</f>
        <v/>
      </c>
      <c r="D64" s="83">
        <f>IFERROR(IF(OR(NOT(ISNUMBER(Metrics!D59)),NOT(ISNUMBER(Metrics!D61)),NOT(ISNUMBER(Metrics!D63))),"-",Metrics!D59+Metrics!D61-Metrics!D63),"-")</f>
        <v/>
      </c>
      <c r="E64" s="83">
        <f>IFERROR(IF(OR(NOT(ISNUMBER(Metrics!E59)),NOT(ISNUMBER(Metrics!E61)),NOT(ISNUMBER(Metrics!E63))),"-",Metrics!E59+Metrics!E61-Metrics!E63),"-")</f>
        <v/>
      </c>
      <c r="F64" s="83">
        <f>IFERROR(IF(OR(NOT(ISNUMBER(Metrics!F59)),NOT(ISNUMBER(Metrics!F61)),NOT(ISNUMBER(Metrics!F63))),"-",Metrics!F59+Metrics!F61-Metrics!F63),"-")</f>
        <v/>
      </c>
      <c r="G64" s="83">
        <f>IFERROR(IF(OR(NOT(ISNUMBER(Metrics!G59)),NOT(ISNUMBER(Metrics!G61)),NOT(ISNUMBER(Metrics!G63))),"-",Metrics!G59+Metrics!G61-Metrics!G63),"-")</f>
        <v/>
      </c>
      <c r="H64" s="83">
        <f>IFERROR(IF(OR(NOT(ISNUMBER(Metrics!H59)),NOT(ISNUMBER(Metrics!H61)),NOT(ISNUMBER(Metrics!H63))),"-",Metrics!H59+Metrics!H61-Metrics!H63),"-")</f>
        <v/>
      </c>
      <c r="I64" s="83">
        <f>IFERROR(IF(OR(NOT(ISNUMBER(Metrics!I59)),NOT(ISNUMBER(Metrics!I61)),NOT(ISNUMBER(Metrics!I63))),"-",Metrics!I59+Metrics!I61-Metrics!I63),"-")</f>
        <v/>
      </c>
      <c r="J64" s="83">
        <f>IFERROR(IF(OR(NOT(ISNUMBER(Metrics!J59)),NOT(ISNUMBER(Metrics!J61)),NOT(ISNUMBER(Metrics!J63))),"-",Metrics!J59+Metrics!J61-Metrics!J63),"-")</f>
        <v/>
      </c>
      <c r="K64" s="83">
        <f>IFERROR(IF(OR(NOT(ISNUMBER(Metrics!K59)),NOT(ISNUMBER(Metrics!K61)),NOT(ISNUMBER(Metrics!K63))),"-",Metrics!K59+Metrics!K61-Metrics!K63),"-")</f>
        <v/>
      </c>
      <c r="L64" s="83">
        <f>IFERROR(IF(OR(NOT(ISNUMBER(Metrics!L59)),NOT(ISNUMBER(Metrics!L61)),NOT(ISNUMBER(Metrics!L63))),"-",Metrics!L59+Metrics!L61-Metrics!L63),"-")</f>
        <v/>
      </c>
      <c r="M64" s="261" t="n"/>
      <c r="N64" s="269" t="n"/>
      <c r="O64" s="269" t="n"/>
      <c r="P64" s="269" t="n"/>
      <c r="Q64" s="269" t="n"/>
      <c r="R64" s="269" t="n"/>
      <c r="S64" s="269" t="n"/>
      <c r="T64" s="269" t="n"/>
      <c r="U64" s="269" t="n"/>
      <c r="V64" s="261" t="n"/>
      <c r="W64" s="261" t="n"/>
      <c r="X64" s="465" t="n"/>
      <c r="Y64" s="465" t="n"/>
    </row>
    <row r="65">
      <c r="A65" s="2" t="n"/>
      <c r="B65" s="2" t="n"/>
      <c r="C65" s="2" t="n"/>
      <c r="D65" s="2" t="n"/>
      <c r="E65" s="2" t="n"/>
      <c r="F65" s="2" t="n"/>
      <c r="G65" s="2" t="n"/>
      <c r="H65" s="2" t="n"/>
      <c r="I65" s="2" t="n"/>
      <c r="J65" s="2" t="n"/>
      <c r="K65" s="2" t="n"/>
      <c r="L65" s="2" t="n"/>
      <c r="N65" s="2" t="n"/>
      <c r="O65" s="2" t="n"/>
      <c r="P65" s="2" t="n"/>
      <c r="Q65" s="2" t="n"/>
      <c r="R65" s="2" t="n"/>
      <c r="S65" s="2" t="n"/>
      <c r="T65" s="2" t="n"/>
      <c r="U65" s="2" t="n"/>
    </row>
    <row r="66" ht="19" customHeight="1" s="74">
      <c r="A66" s="226" t="inlineStr">
        <is>
          <t>VALUATION &amp; SHAREHOLDER METRICS</t>
        </is>
      </c>
    </row>
    <row r="67" ht="28" customHeight="1" s="74">
      <c r="A67" s="14" t="inlineStr">
        <is>
          <t>Period</t>
        </is>
      </c>
      <c r="B67" s="14">
        <f>Data!B13</f>
        <v/>
      </c>
      <c r="C67" s="14">
        <f>Data!C13</f>
        <v/>
      </c>
      <c r="D67" s="14">
        <f>Data!D13</f>
        <v/>
      </c>
      <c r="E67" s="14">
        <f>Data!E13</f>
        <v/>
      </c>
      <c r="F67" s="14">
        <f>Data!F13</f>
        <v/>
      </c>
      <c r="G67" s="14">
        <f>Data!G13</f>
        <v/>
      </c>
      <c r="H67" s="14">
        <f>Data!H13</f>
        <v/>
      </c>
      <c r="I67" s="14">
        <f>Data!I13</f>
        <v/>
      </c>
      <c r="J67" s="14">
        <f>Data!J13</f>
        <v/>
      </c>
      <c r="K67" s="14">
        <f>Data!K13</f>
        <v/>
      </c>
      <c r="L67" s="14">
        <f>Data!L13</f>
        <v/>
      </c>
      <c r="N67" s="267" t="inlineStr">
        <is>
          <t>Year -2
Q1</t>
        </is>
      </c>
      <c r="O67" s="267" t="inlineStr">
        <is>
          <t>Year -2
Q2</t>
        </is>
      </c>
      <c r="P67" s="267" t="inlineStr">
        <is>
          <t>Year -2
Q3</t>
        </is>
      </c>
      <c r="Q67" s="267" t="inlineStr">
        <is>
          <t>Year -2
Q4</t>
        </is>
      </c>
      <c r="R67" s="267" t="inlineStr">
        <is>
          <t>Year -1
Q1</t>
        </is>
      </c>
      <c r="S67" s="267" t="inlineStr">
        <is>
          <t>Year -1
Q2</t>
        </is>
      </c>
      <c r="T67" s="267" t="inlineStr">
        <is>
          <t>Year -1
Q3</t>
        </is>
      </c>
      <c r="U67" s="267" t="inlineStr">
        <is>
          <t>Year -1
Q4</t>
        </is>
      </c>
      <c r="V67" s="267" t="inlineStr">
        <is>
          <t>Current Year
Q1</t>
        </is>
      </c>
      <c r="W67" s="267" t="inlineStr">
        <is>
          <t>Current Year
Q2</t>
        </is>
      </c>
      <c r="X67" s="267" t="inlineStr">
        <is>
          <t>Current Year
Q3</t>
        </is>
      </c>
      <c r="Y67" s="267" t="inlineStr">
        <is>
          <t>Current Year
Q4</t>
        </is>
      </c>
    </row>
    <row r="68" ht="15" customHeight="1" s="74">
      <c r="A68" s="15" t="inlineStr">
        <is>
          <t>Return on Capital (ROC)</t>
        </is>
      </c>
      <c r="B68" s="84">
        <f>IFERROR(Data!B22/(Data!B39-Data!B32),"-")</f>
        <v/>
      </c>
      <c r="C68" s="84">
        <f>IFERROR(Data!C22/(Data!C39-Data!C32),"-")</f>
        <v/>
      </c>
      <c r="D68" s="84">
        <f>IFERROR(Data!D22/(Data!D39-Data!D32),"-")</f>
        <v/>
      </c>
      <c r="E68" s="84">
        <f>IFERROR(Data!E22/(Data!E39-Data!E32),"-")</f>
        <v/>
      </c>
      <c r="F68" s="84">
        <f>IFERROR(Data!F22/(Data!F39-Data!F32),"-")</f>
        <v/>
      </c>
      <c r="G68" s="84">
        <f>IFERROR(Data!G22/(Data!G39-Data!G32),"-")</f>
        <v/>
      </c>
      <c r="H68" s="84">
        <f>IFERROR(Data!H22/(Data!H39-Data!H32),"-")</f>
        <v/>
      </c>
      <c r="I68" s="84">
        <f>IFERROR(Data!I22/(Data!I39-Data!I32),"-")</f>
        <v/>
      </c>
      <c r="J68" s="84">
        <f>IFERROR(Data!J22/(Data!J39-Data!J32),"-")</f>
        <v/>
      </c>
      <c r="K68" s="84">
        <f>IFERROR(Data!K22/(Data!K39-Data!K32),"-")</f>
        <v/>
      </c>
      <c r="L68" s="84">
        <f>IFERROR(Data!L22/(Data!L39-Data!L32),"-")</f>
        <v/>
      </c>
      <c r="M68" s="261" t="n"/>
      <c r="N68" s="250" t="n"/>
      <c r="O68" s="250" t="n"/>
      <c r="P68" s="250" t="n"/>
      <c r="Q68" s="250" t="n"/>
      <c r="R68" s="250" t="n"/>
      <c r="S68" s="250" t="n"/>
      <c r="T68" s="250" t="n"/>
      <c r="U68" s="250" t="n"/>
      <c r="V68" s="258" t="n"/>
      <c r="W68" s="258" t="n"/>
      <c r="X68" s="461" t="n"/>
      <c r="Y68" s="461" t="n"/>
    </row>
    <row r="69" ht="15" customHeight="1" s="74">
      <c r="A69" s="17" t="inlineStr">
        <is>
          <t>Gross ROE (EBIT/Equity)</t>
        </is>
      </c>
      <c r="B69" s="81">
        <f>IFERROR(Data!B22/Data!B41,"-")</f>
        <v/>
      </c>
      <c r="C69" s="81">
        <f>IFERROR(Data!C22/Data!C41,"-")</f>
        <v/>
      </c>
      <c r="D69" s="81">
        <f>IFERROR(Data!D22/Data!D41,"-")</f>
        <v/>
      </c>
      <c r="E69" s="81">
        <f>IFERROR(Data!E22/Data!E41,"-")</f>
        <v/>
      </c>
      <c r="F69" s="81">
        <f>IFERROR(Data!F22/Data!F41,"-")</f>
        <v/>
      </c>
      <c r="G69" s="81">
        <f>IFERROR(Data!G22/Data!G41,"-")</f>
        <v/>
      </c>
      <c r="H69" s="81">
        <f>IFERROR(Data!H22/Data!H41,"-")</f>
        <v/>
      </c>
      <c r="I69" s="81">
        <f>IFERROR(Data!I22/Data!I41,"-")</f>
        <v/>
      </c>
      <c r="J69" s="81">
        <f>IFERROR(Data!J22/Data!J41,"-")</f>
        <v/>
      </c>
      <c r="K69" s="81">
        <f>IFERROR(Data!K22/Data!K41,"-")</f>
        <v/>
      </c>
      <c r="L69" s="81">
        <f>IFERROR(Data!L22/Data!L41,"-")</f>
        <v/>
      </c>
      <c r="M69" s="261" t="n"/>
      <c r="N69" s="249" t="n"/>
      <c r="O69" s="249" t="n"/>
      <c r="P69" s="249" t="n"/>
      <c r="Q69" s="249" t="n"/>
      <c r="R69" s="249" t="n"/>
      <c r="S69" s="249" t="n"/>
      <c r="T69" s="249" t="n"/>
      <c r="U69" s="249" t="n"/>
      <c r="V69" s="256" t="n"/>
      <c r="W69" s="256" t="n"/>
      <c r="X69" s="461" t="n"/>
      <c r="Y69" s="461" t="n"/>
    </row>
    <row r="70" ht="15" customHeight="1" s="74">
      <c r="A70" s="15" t="inlineStr">
        <is>
          <t>Hard Assets / Share (PP&amp;E + Cash)</t>
        </is>
      </c>
      <c r="B70" s="28">
        <f>IFERROR((Data!B44+Data!B32)/Data!B28,"-")</f>
        <v/>
      </c>
      <c r="C70" s="28">
        <f>IFERROR((Data!C44+Data!C32)/Data!C28,"-")</f>
        <v/>
      </c>
      <c r="D70" s="28">
        <f>IFERROR((Data!D44+Data!D32)/Data!D28,"-")</f>
        <v/>
      </c>
      <c r="E70" s="28">
        <f>IFERROR((Data!E44+Data!E32)/Data!E28,"-")</f>
        <v/>
      </c>
      <c r="F70" s="28">
        <f>IFERROR((Data!F44+Data!F32)/Data!F28,"-")</f>
        <v/>
      </c>
      <c r="G70" s="28">
        <f>IFERROR((Data!G44+Data!G32)/Data!G28,"-")</f>
        <v/>
      </c>
      <c r="H70" s="28">
        <f>IFERROR((Data!H44+Data!H32)/Data!H28,"-")</f>
        <v/>
      </c>
      <c r="I70" s="28">
        <f>IFERROR((Data!I44+Data!I32)/Data!I28,"-")</f>
        <v/>
      </c>
      <c r="J70" s="28">
        <f>IFERROR((Data!J44+Data!J32)/Data!J28,"-")</f>
        <v/>
      </c>
      <c r="K70" s="28">
        <f>IFERROR((Data!K44+Data!K32)/Data!K28,"-")</f>
        <v/>
      </c>
      <c r="L70" s="28">
        <f>IFERROR((Data!L44+Data!L32)/Data!L28,"-")</f>
        <v/>
      </c>
      <c r="M70" s="261" t="n"/>
      <c r="N70" s="247" t="n"/>
      <c r="O70" s="247" t="n"/>
      <c r="P70" s="247" t="n"/>
      <c r="Q70" s="247" t="n"/>
      <c r="R70" s="247" t="n"/>
      <c r="S70" s="247" t="n"/>
      <c r="T70" s="247" t="n"/>
      <c r="U70" s="247" t="n"/>
      <c r="V70" s="258" t="n"/>
      <c r="W70" s="258" t="n"/>
      <c r="X70" s="461" t="n"/>
      <c r="Y70" s="461" t="n"/>
    </row>
    <row r="71" ht="15" customHeight="1" s="74">
      <c r="A71" s="17" t="inlineStr">
        <is>
          <t>Tangible Book Value / Share</t>
        </is>
      </c>
      <c r="B71" s="29">
        <f>IFERROR((Data!B41-Data!B43)/Data!B28,"-")</f>
        <v/>
      </c>
      <c r="C71" s="29">
        <f>IFERROR((Data!C41-Data!C43)/Data!C28,"-")</f>
        <v/>
      </c>
      <c r="D71" s="29">
        <f>IFERROR((Data!D41-Data!D43)/Data!D28,"-")</f>
        <v/>
      </c>
      <c r="E71" s="29">
        <f>IFERROR((Data!E41-Data!E43)/Data!E28,"-")</f>
        <v/>
      </c>
      <c r="F71" s="29">
        <f>IFERROR((Data!F41-Data!F43)/Data!F28,"-")</f>
        <v/>
      </c>
      <c r="G71" s="29">
        <f>IFERROR((Data!G41-Data!G43)/Data!G28,"-")</f>
        <v/>
      </c>
      <c r="H71" s="29">
        <f>IFERROR((Data!H41-Data!H43)/Data!H28,"-")</f>
        <v/>
      </c>
      <c r="I71" s="29">
        <f>IFERROR((Data!I41-Data!I43)/Data!I28,"-")</f>
        <v/>
      </c>
      <c r="J71" s="29">
        <f>IFERROR((Data!J41-Data!J43)/Data!J28,"-")</f>
        <v/>
      </c>
      <c r="K71" s="29">
        <f>IFERROR((Data!K41-Data!K43)/Data!K28,"-")</f>
        <v/>
      </c>
      <c r="L71" s="29">
        <f>IFERROR((Data!L41-Data!L43)/Data!L28,"-")</f>
        <v/>
      </c>
      <c r="M71" s="261" t="n"/>
      <c r="N71" s="248" t="n"/>
      <c r="O71" s="248" t="n"/>
      <c r="P71" s="248" t="n"/>
      <c r="Q71" s="248" t="n"/>
      <c r="R71" s="248" t="n"/>
      <c r="S71" s="248" t="n"/>
      <c r="T71" s="248" t="n"/>
      <c r="U71" s="248" t="n"/>
      <c r="V71" s="256" t="n"/>
      <c r="W71" s="256" t="n"/>
      <c r="X71" s="461" t="n"/>
      <c r="Y71" s="461" t="n"/>
    </row>
    <row r="72" ht="15" customHeight="1" s="74">
      <c r="A72" s="15" t="inlineStr">
        <is>
          <t>Asset Turnover</t>
        </is>
      </c>
      <c r="B72" s="28" t="n"/>
      <c r="C72" s="28">
        <f>IFERROR(IF(OR(NOT(ISNUMBER(Data!C14)),NOT(ISNUMBER(Data!C39))),"-",Data!C14/Data!C39),"-")</f>
        <v/>
      </c>
      <c r="D72" s="28">
        <f>IFERROR(IF(OR(NOT(ISNUMBER(Data!D14)),NOT(ISNUMBER(Data!D39))),"-",Data!D14/Data!D39),"-")</f>
        <v/>
      </c>
      <c r="E72" s="28">
        <f>IFERROR(IF(OR(NOT(ISNUMBER(Data!E14)),NOT(ISNUMBER(Data!E39))),"-",Data!E14/Data!E39),"-")</f>
        <v/>
      </c>
      <c r="F72" s="28">
        <f>IFERROR(IF(OR(NOT(ISNUMBER(Data!F14)),NOT(ISNUMBER(Data!F39))),"-",Data!F14/Data!F39),"-")</f>
        <v/>
      </c>
      <c r="G72" s="28">
        <f>IFERROR(IF(OR(NOT(ISNUMBER(Data!G14)),NOT(ISNUMBER(Data!G39))),"-",Data!G14/Data!G39),"-")</f>
        <v/>
      </c>
      <c r="H72" s="28">
        <f>IFERROR(IF(OR(NOT(ISNUMBER(Data!H14)),NOT(ISNUMBER(Data!H39))),"-",Data!H14/Data!H39),"-")</f>
        <v/>
      </c>
      <c r="I72" s="28">
        <f>IFERROR(IF(OR(NOT(ISNUMBER(Data!I14)),NOT(ISNUMBER(Data!I39))),"-",Data!I14/Data!I39),"-")</f>
        <v/>
      </c>
      <c r="J72" s="28">
        <f>IFERROR(IF(OR(NOT(ISNUMBER(Data!J14)),NOT(ISNUMBER(Data!J39))),"-",Data!J14/Data!J39),"-")</f>
        <v/>
      </c>
      <c r="K72" s="28">
        <f>IFERROR(IF(OR(NOT(ISNUMBER(Data!K14)),NOT(ISNUMBER(Data!K39))),"-",Data!K14/Data!K39),"-")</f>
        <v/>
      </c>
      <c r="L72" s="28">
        <f>IFERROR(IF(OR(NOT(ISNUMBER(Data!L14)),NOT(ISNUMBER(Data!L39))),"-",Data!L14/Data!L39),"-")</f>
        <v/>
      </c>
      <c r="M72" s="261" t="n"/>
      <c r="N72" s="247" t="n"/>
      <c r="O72" s="247" t="n"/>
      <c r="P72" s="247" t="n"/>
      <c r="Q72" s="247">
        <f>IFERROR(IF(OR(NOT(ISNUMBER(Data!N14)),NOT(ISNUMBER(Data!O14)),NOT(ISNUMBER(Data!P14)),NOT(ISNUMBER(Data!Q14)),NOT(ISNUMBER(Data!Q39))),"-",(Data!N14+Data!O14+Data!P14+Data!Q14)/Data!Q39),"-")</f>
        <v/>
      </c>
      <c r="R72" s="247">
        <f>IFERROR(IF(OR(NOT(ISNUMBER(Data!O14)),NOT(ISNUMBER(Data!P14)),NOT(ISNUMBER(Data!Q14)),NOT(ISNUMBER(Data!R14)),NOT(ISNUMBER(Data!R39))),"-",(Data!O14+Data!P14+Data!Q14+Data!R14)/Data!R39),"-")</f>
        <v/>
      </c>
      <c r="S72" s="247">
        <f>IFERROR(IF(OR(NOT(ISNUMBER(Data!P14)),NOT(ISNUMBER(Data!Q14)),NOT(ISNUMBER(Data!R14)),NOT(ISNUMBER(Data!S14)),NOT(ISNUMBER(Data!S39))),"-",(Data!P14+Data!Q14+Data!R14+Data!S14)/Data!S39),"-")</f>
        <v/>
      </c>
      <c r="T72" s="247">
        <f>IFERROR(IF(OR(NOT(ISNUMBER(Data!Q14)),NOT(ISNUMBER(Data!R14)),NOT(ISNUMBER(Data!S14)),NOT(ISNUMBER(Data!T14)),NOT(ISNUMBER(Data!T39))),"-",(Data!Q14+Data!R14+Data!S14+Data!T14)/Data!T39),"-")</f>
        <v/>
      </c>
      <c r="U72" s="247">
        <f>IFERROR(IF(OR(NOT(ISNUMBER(Data!R14)),NOT(ISNUMBER(Data!S14)),NOT(ISNUMBER(Data!T14)),NOT(ISNUMBER(Data!U14)),NOT(ISNUMBER(Data!U39))),"-",(Data!R14+Data!S14+Data!T14+Data!U14)/Data!U39),"-")</f>
        <v/>
      </c>
      <c r="V72" s="258">
        <f>IFERROR(IF(OR(NOT(ISNUMBER(Data!S14)),NOT(ISNUMBER(Data!T14)),NOT(ISNUMBER(Data!U14)),NOT(ISNUMBER(Data!V14)),NOT(ISNUMBER(Data!V39))),"-",(Data!S14+Data!T14+Data!U14+Data!V14)/Data!V39),"-")</f>
        <v/>
      </c>
      <c r="W72" s="258">
        <f>IFERROR(IF(OR(NOT(ISNUMBER(Data!T14)),NOT(ISNUMBER(Data!U14)),NOT(ISNUMBER(Data!V14)),NOT(ISNUMBER(Data!W14)),NOT(ISNUMBER(Data!W39))),"-",(Data!T14+Data!U14+Data!V14+Data!W14)/Data!W39),"-")</f>
        <v/>
      </c>
      <c r="X72" s="461">
        <f>IFERROR(IF(OR(NOT(ISNUMBER(Data!U14)),NOT(ISNUMBER(Data!V14)),NOT(ISNUMBER(Data!W14)),NOT(ISNUMBER(Data!X14)),NOT(ISNUMBER(Data!X39))),"-",(Data!U14+Data!V14+Data!W14+Data!X14)/Data!X39),"-")</f>
        <v/>
      </c>
      <c r="Y72" s="461">
        <f>IFERROR(IF(OR(NOT(ISNUMBER(Data!V14)),NOT(ISNUMBER(Data!W14)),NOT(ISNUMBER(Data!X14)),NOT(ISNUMBER(Data!Y14)),NOT(ISNUMBER(Data!Y39))),"-",(Data!V14+Data!W14+Data!X14+Data!Y14)/Data!Y39),"-")</f>
        <v/>
      </c>
    </row>
    <row r="73" ht="15" customHeight="1" s="74">
      <c r="A73" s="17" t="inlineStr">
        <is>
          <t>Dividend Payout Ratio</t>
        </is>
      </c>
      <c r="B73" s="81" t="n"/>
      <c r="C73" s="81">
        <f>IFERROR(IF(OR(NOT(ISNUMBER(Data!C55)),NOT(ISNUMBER(Data!C26)),Data!C55=0),"-",ABS(Data!C55)/Data!C26),"-")</f>
        <v/>
      </c>
      <c r="D73" s="81">
        <f>IFERROR(IF(OR(NOT(ISNUMBER(Data!D55)),NOT(ISNUMBER(Data!D26)),Data!D55=0),"-",ABS(Data!D55)/Data!D26),"-")</f>
        <v/>
      </c>
      <c r="E73" s="81">
        <f>IFERROR(IF(OR(NOT(ISNUMBER(Data!E55)),NOT(ISNUMBER(Data!E26)),Data!E55=0),"-",ABS(Data!E55)/Data!E26),"-")</f>
        <v/>
      </c>
      <c r="F73" s="81">
        <f>IFERROR(IF(OR(NOT(ISNUMBER(Data!F55)),NOT(ISNUMBER(Data!F26)),Data!F55=0),"-",ABS(Data!F55)/Data!F26),"-")</f>
        <v/>
      </c>
      <c r="G73" s="81">
        <f>IFERROR(IF(OR(NOT(ISNUMBER(Data!G55)),NOT(ISNUMBER(Data!G26)),Data!G55=0),"-",ABS(Data!G55)/Data!G26),"-")</f>
        <v/>
      </c>
      <c r="H73" s="81">
        <f>IFERROR(IF(OR(NOT(ISNUMBER(Data!H55)),NOT(ISNUMBER(Data!H26)),Data!H55=0),"-",ABS(Data!H55)/Data!H26),"-")</f>
        <v/>
      </c>
      <c r="I73" s="81">
        <f>IFERROR(IF(OR(NOT(ISNUMBER(Data!I55)),NOT(ISNUMBER(Data!I26)),Data!I55=0),"-",ABS(Data!I55)/Data!I26),"-")</f>
        <v/>
      </c>
      <c r="J73" s="81">
        <f>IFERROR(IF(OR(NOT(ISNUMBER(Data!J55)),NOT(ISNUMBER(Data!J26)),Data!J55=0),"-",ABS(Data!J55)/Data!J26),"-")</f>
        <v/>
      </c>
      <c r="K73" s="81">
        <f>IFERROR(IF(OR(NOT(ISNUMBER(Data!K55)),NOT(ISNUMBER(Data!K26)),Data!K55=0),"-",ABS(Data!K55)/Data!K26),"-")</f>
        <v/>
      </c>
      <c r="L73" s="81">
        <f>IFERROR(IF(OR(NOT(ISNUMBER(Data!L55)),NOT(ISNUMBER(Data!L26)),Data!L55=0),"-",ABS(Data!L55)/Data!L26),"-")</f>
        <v/>
      </c>
      <c r="M73" s="261" t="n"/>
      <c r="N73" s="249" t="n"/>
      <c r="O73" s="249" t="n"/>
      <c r="P73" s="249" t="n"/>
      <c r="Q73" s="249">
        <f>IFERROR(IF(OR(NOT(ISNUMBER(Data!N55)),NOT(ISNUMBER(Data!O55)),NOT(ISNUMBER(Data!P55)),NOT(ISNUMBER(Data!Q55)),NOT(ISNUMBER(Data!N26)),NOT(ISNUMBER(Data!O26)),NOT(ISNUMBER(Data!P26)),NOT(ISNUMBER(Data!Q26)),(Data!N55+Data!O55+Data!P55+Data!Q55)=0),"-",ABS((Data!N55+Data!O55+Data!P55+Data!Q55))/(Data!N26+Data!O26+Data!P26+Data!Q26)),"-")</f>
        <v/>
      </c>
      <c r="R73" s="249">
        <f>IFERROR(IF(OR(NOT(ISNUMBER(Data!O55)),NOT(ISNUMBER(Data!P55)),NOT(ISNUMBER(Data!Q55)),NOT(ISNUMBER(Data!R55)),NOT(ISNUMBER(Data!O26)),NOT(ISNUMBER(Data!P26)),NOT(ISNUMBER(Data!Q26)),NOT(ISNUMBER(Data!R26)),(Data!O55+Data!P55+Data!Q55+Data!R55)=0),"-",ABS((Data!O55+Data!P55+Data!Q55+Data!R55))/(Data!O26+Data!P26+Data!Q26+Data!R26)),"-")</f>
        <v/>
      </c>
      <c r="S73" s="249">
        <f>IFERROR(IF(OR(NOT(ISNUMBER(Data!P55)),NOT(ISNUMBER(Data!Q55)),NOT(ISNUMBER(Data!R55)),NOT(ISNUMBER(Data!S55)),NOT(ISNUMBER(Data!P26)),NOT(ISNUMBER(Data!Q26)),NOT(ISNUMBER(Data!R26)),NOT(ISNUMBER(Data!S26)),(Data!P55+Data!Q55+Data!R55+Data!S55)=0),"-",ABS((Data!P55+Data!Q55+Data!R55+Data!S55))/(Data!P26+Data!Q26+Data!R26+Data!S26)),"-")</f>
        <v/>
      </c>
      <c r="T73" s="249">
        <f>IFERROR(IF(OR(NOT(ISNUMBER(Data!Q55)),NOT(ISNUMBER(Data!R55)),NOT(ISNUMBER(Data!S55)),NOT(ISNUMBER(Data!T55)),NOT(ISNUMBER(Data!Q26)),NOT(ISNUMBER(Data!R26)),NOT(ISNUMBER(Data!S26)),NOT(ISNUMBER(Data!T26)),(Data!Q55+Data!R55+Data!S55+Data!T55)=0),"-",ABS((Data!Q55+Data!R55+Data!S55+Data!T55))/(Data!Q26+Data!R26+Data!S26+Data!T26)),"-")</f>
        <v/>
      </c>
      <c r="U73" s="249">
        <f>IFERROR(IF(OR(NOT(ISNUMBER(Data!R55)),NOT(ISNUMBER(Data!S55)),NOT(ISNUMBER(Data!T55)),NOT(ISNUMBER(Data!U55)),NOT(ISNUMBER(Data!R26)),NOT(ISNUMBER(Data!S26)),NOT(ISNUMBER(Data!T26)),NOT(ISNUMBER(Data!U26)),(Data!R55+Data!S55+Data!T55+Data!U55)=0),"-",ABS((Data!R55+Data!S55+Data!T55+Data!U55))/(Data!R26+Data!S26+Data!T26+Data!U26)),"-")</f>
        <v/>
      </c>
      <c r="V73" s="256">
        <f>IFERROR(IF(OR(NOT(ISNUMBER(Data!S55)),NOT(ISNUMBER(Data!T55)),NOT(ISNUMBER(Data!U55)),NOT(ISNUMBER(Data!V55)),NOT(ISNUMBER(Data!S26)),NOT(ISNUMBER(Data!T26)),NOT(ISNUMBER(Data!U26)),NOT(ISNUMBER(Data!V26)),(Data!S55+Data!T55+Data!U55+Data!V55)=0),"-",ABS((Data!S55+Data!T55+Data!U55+Data!V55))/(Data!S26+Data!T26+Data!U26+Data!V26)),"-")</f>
        <v/>
      </c>
      <c r="W73" s="256">
        <f>IFERROR(IF(OR(NOT(ISNUMBER(Data!T55)),NOT(ISNUMBER(Data!U55)),NOT(ISNUMBER(Data!V55)),NOT(ISNUMBER(Data!W55)),NOT(ISNUMBER(Data!T26)),NOT(ISNUMBER(Data!U26)),NOT(ISNUMBER(Data!V26)),NOT(ISNUMBER(Data!W26)),(Data!T55+Data!U55+Data!V55+Data!W55)=0),"-",ABS((Data!T55+Data!U55+Data!V55+Data!W55))/(Data!T26+Data!U26+Data!V26+Data!W26)),"-")</f>
        <v/>
      </c>
      <c r="X73" s="461">
        <f>IFERROR(IF(OR(NOT(ISNUMBER(Data!U55)),NOT(ISNUMBER(Data!V55)),NOT(ISNUMBER(Data!W55)),NOT(ISNUMBER(Data!X55)),NOT(ISNUMBER(Data!U26)),NOT(ISNUMBER(Data!V26)),NOT(ISNUMBER(Data!W26)),NOT(ISNUMBER(Data!X26)),(Data!U55+Data!V55+Data!W55+Data!X55)=0),"-",ABS((Data!U55+Data!V55+Data!W55+Data!X55))/(Data!U26+Data!V26+Data!W26+Data!X26)),"-")</f>
        <v/>
      </c>
      <c r="Y73" s="461">
        <f>IFERROR(IF(OR(NOT(ISNUMBER(Data!V55)),NOT(ISNUMBER(Data!W55)),NOT(ISNUMBER(Data!X55)),NOT(ISNUMBER(Data!Y55)),NOT(ISNUMBER(Data!V26)),NOT(ISNUMBER(Data!W26)),NOT(ISNUMBER(Data!X26)),NOT(ISNUMBER(Data!Y26)),(Data!V55+Data!W55+Data!X55+Data!Y55)=0),"-",ABS((Data!V55+Data!W55+Data!X55+Data!Y55))/(Data!V26+Data!W26+Data!X26+Data!Y26)),"-")</f>
        <v/>
      </c>
    </row>
    <row r="74" ht="15" customHeight="1" s="74">
      <c r="A74" s="15" t="inlineStr">
        <is>
          <t>SBC / Revenue</t>
        </is>
      </c>
      <c r="B74" s="84">
        <f>IFERROR(Data!B54/Data!B14,"-")</f>
        <v/>
      </c>
      <c r="C74" s="84">
        <f>IFERROR(Data!C54/Data!C14,"-")</f>
        <v/>
      </c>
      <c r="D74" s="84">
        <f>IFERROR(Data!D54/Data!D14,"-")</f>
        <v/>
      </c>
      <c r="E74" s="84">
        <f>IFERROR(Data!E54/Data!E14,"-")</f>
        <v/>
      </c>
      <c r="F74" s="84">
        <f>IFERROR(Data!F54/Data!F14,"-")</f>
        <v/>
      </c>
      <c r="G74" s="84">
        <f>IFERROR(Data!G54/Data!G14,"-")</f>
        <v/>
      </c>
      <c r="H74" s="84">
        <f>IFERROR(Data!H54/Data!H14,"-")</f>
        <v/>
      </c>
      <c r="I74" s="84">
        <f>IFERROR(Data!I54/Data!I14,"-")</f>
        <v/>
      </c>
      <c r="J74" s="84">
        <f>IFERROR(Data!J54/Data!J14,"-")</f>
        <v/>
      </c>
      <c r="K74" s="84">
        <f>IFERROR(Data!K54/Data!K14,"-")</f>
        <v/>
      </c>
      <c r="L74" s="84">
        <f>IFERROR(Data!L54/Data!L14,"-")</f>
        <v/>
      </c>
      <c r="M74" s="261" t="n"/>
      <c r="N74" s="250" t="n"/>
      <c r="O74" s="250" t="n"/>
      <c r="P74" s="250" t="n"/>
      <c r="Q74" s="250" t="n"/>
      <c r="R74" s="250" t="n"/>
      <c r="S74" s="250" t="n"/>
      <c r="T74" s="250" t="n"/>
      <c r="U74" s="250" t="n"/>
      <c r="V74" s="258" t="n"/>
      <c r="W74" s="258" t="n"/>
      <c r="X74" s="461" t="n"/>
      <c r="Y74" s="461" t="n"/>
    </row>
    <row r="75" ht="15" customHeight="1" s="74">
      <c r="A75" s="17" t="inlineStr">
        <is>
          <t>SBC / FCF</t>
        </is>
      </c>
      <c r="B75" s="81">
        <f>IFERROR(Data!B54/Data!B53,"-")</f>
        <v/>
      </c>
      <c r="C75" s="81">
        <f>IFERROR(Data!C54/Data!C53,"-")</f>
        <v/>
      </c>
      <c r="D75" s="81">
        <f>IFERROR(Data!D54/Data!D53,"-")</f>
        <v/>
      </c>
      <c r="E75" s="81">
        <f>IFERROR(Data!E54/Data!E53,"-")</f>
        <v/>
      </c>
      <c r="F75" s="81">
        <f>IFERROR(Data!F54/Data!F53,"-")</f>
        <v/>
      </c>
      <c r="G75" s="81">
        <f>IFERROR(Data!G54/Data!G53,"-")</f>
        <v/>
      </c>
      <c r="H75" s="81">
        <f>IFERROR(Data!H54/Data!H53,"-")</f>
        <v/>
      </c>
      <c r="I75" s="81">
        <f>IFERROR(Data!I54/Data!I53,"-")</f>
        <v/>
      </c>
      <c r="J75" s="81">
        <f>IFERROR(Data!J54/Data!J53,"-")</f>
        <v/>
      </c>
      <c r="K75" s="81">
        <f>IFERROR(Data!K54/Data!K53,"-")</f>
        <v/>
      </c>
      <c r="L75" s="81">
        <f>IFERROR(Data!L54/Data!L53,"-")</f>
        <v/>
      </c>
      <c r="M75" s="261" t="n"/>
      <c r="N75" s="249" t="n"/>
      <c r="O75" s="249" t="n"/>
      <c r="P75" s="249" t="n"/>
      <c r="Q75" s="249" t="n"/>
      <c r="R75" s="249" t="n"/>
      <c r="S75" s="249" t="n"/>
      <c r="T75" s="249" t="n"/>
      <c r="U75" s="249" t="n"/>
      <c r="V75" s="256" t="n"/>
      <c r="W75" s="256" t="n"/>
      <c r="X75" s="256" t="n"/>
      <c r="Y75" s="256" t="n"/>
    </row>
    <row r="76" ht="15" customHeight="1" s="74">
      <c r="A76" s="15" t="inlineStr">
        <is>
          <t>FCF Conversion (FCF/NI)</t>
        </is>
      </c>
      <c r="B76" s="84" t="n"/>
      <c r="C76" s="84">
        <f>IFERROR(IF(OR(NOT(ISNUMBER(Data!C53)),NOT(ISNUMBER(Data!C26))),"-",Data!C53/Data!C26),"-")</f>
        <v/>
      </c>
      <c r="D76" s="84">
        <f>IFERROR(IF(OR(NOT(ISNUMBER(Data!D53)),NOT(ISNUMBER(Data!D26))),"-",Data!D53/Data!D26),"-")</f>
        <v/>
      </c>
      <c r="E76" s="84">
        <f>IFERROR(IF(OR(NOT(ISNUMBER(Data!E53)),NOT(ISNUMBER(Data!E26))),"-",Data!E53/Data!E26),"-")</f>
        <v/>
      </c>
      <c r="F76" s="84">
        <f>IFERROR(IF(OR(NOT(ISNUMBER(Data!F53)),NOT(ISNUMBER(Data!F26))),"-",Data!F53/Data!F26),"-")</f>
        <v/>
      </c>
      <c r="G76" s="84">
        <f>IFERROR(IF(OR(NOT(ISNUMBER(Data!G53)),NOT(ISNUMBER(Data!G26))),"-",Data!G53/Data!G26),"-")</f>
        <v/>
      </c>
      <c r="H76" s="84">
        <f>IFERROR(IF(OR(NOT(ISNUMBER(Data!H53)),NOT(ISNUMBER(Data!H26))),"-",Data!H53/Data!H26),"-")</f>
        <v/>
      </c>
      <c r="I76" s="84">
        <f>IFERROR(IF(OR(NOT(ISNUMBER(Data!I53)),NOT(ISNUMBER(Data!I26))),"-",Data!I53/Data!I26),"-")</f>
        <v/>
      </c>
      <c r="J76" s="84">
        <f>IFERROR(IF(OR(NOT(ISNUMBER(Data!J53)),NOT(ISNUMBER(Data!J26))),"-",Data!J53/Data!J26),"-")</f>
        <v/>
      </c>
      <c r="K76" s="84">
        <f>IFERROR(IF(OR(NOT(ISNUMBER(Data!K53)),NOT(ISNUMBER(Data!K26))),"-",Data!K53/Data!K26),"-")</f>
        <v/>
      </c>
      <c r="L76" s="84">
        <f>IFERROR(IF(OR(NOT(ISNUMBER(Data!L53)),NOT(ISNUMBER(Data!L26))),"-",Data!L53/Data!L26),"-")</f>
        <v/>
      </c>
      <c r="M76" s="261" t="n"/>
      <c r="N76" s="250" t="n"/>
      <c r="O76" s="250" t="n"/>
      <c r="P76" s="250" t="n"/>
      <c r="Q76" s="250">
        <f>IFERROR(IF(OR(NOT(ISNUMBER(Data!N53)),NOT(ISNUMBER(Data!O53)),NOT(ISNUMBER(Data!P53)),NOT(ISNUMBER(Data!Q53)),NOT(ISNUMBER(Data!N26)),NOT(ISNUMBER(Data!O26)),NOT(ISNUMBER(Data!P26)),NOT(ISNUMBER(Data!Q26))),"-",(Data!N53+Data!O53+Data!P53+Data!Q53)/(Data!N26+Data!O26+Data!P26+Data!Q26)),"-")</f>
        <v/>
      </c>
      <c r="R76" s="250">
        <f>IFERROR(IF(OR(NOT(ISNUMBER(Data!O53)),NOT(ISNUMBER(Data!P53)),NOT(ISNUMBER(Data!Q53)),NOT(ISNUMBER(Data!R53)),NOT(ISNUMBER(Data!O26)),NOT(ISNUMBER(Data!P26)),NOT(ISNUMBER(Data!Q26)),NOT(ISNUMBER(Data!R26))),"-",(Data!O53+Data!P53+Data!Q53+Data!R53)/(Data!O26+Data!P26+Data!Q26+Data!R26)),"-")</f>
        <v/>
      </c>
      <c r="S76" s="250">
        <f>IFERROR(IF(OR(NOT(ISNUMBER(Data!P53)),NOT(ISNUMBER(Data!Q53)),NOT(ISNUMBER(Data!R53)),NOT(ISNUMBER(Data!S53)),NOT(ISNUMBER(Data!P26)),NOT(ISNUMBER(Data!Q26)),NOT(ISNUMBER(Data!R26)),NOT(ISNUMBER(Data!S26))),"-",(Data!P53+Data!Q53+Data!R53+Data!S53)/(Data!P26+Data!Q26+Data!R26+Data!S26)),"-")</f>
        <v/>
      </c>
      <c r="T76" s="250">
        <f>IFERROR(IF(OR(NOT(ISNUMBER(Data!Q53)),NOT(ISNUMBER(Data!R53)),NOT(ISNUMBER(Data!S53)),NOT(ISNUMBER(Data!T53)),NOT(ISNUMBER(Data!Q26)),NOT(ISNUMBER(Data!R26)),NOT(ISNUMBER(Data!S26)),NOT(ISNUMBER(Data!T26))),"-",(Data!Q53+Data!R53+Data!S53+Data!T53)/(Data!Q26+Data!R26+Data!S26+Data!T26)),"-")</f>
        <v/>
      </c>
      <c r="U76" s="250">
        <f>IFERROR(IF(OR(NOT(ISNUMBER(Data!R53)),NOT(ISNUMBER(Data!S53)),NOT(ISNUMBER(Data!T53)),NOT(ISNUMBER(Data!U53)),NOT(ISNUMBER(Data!R26)),NOT(ISNUMBER(Data!S26)),NOT(ISNUMBER(Data!T26)),NOT(ISNUMBER(Data!U26))),"-",(Data!R53+Data!S53+Data!T53+Data!U53)/(Data!R26+Data!S26+Data!T26+Data!U26)),"-")</f>
        <v/>
      </c>
      <c r="V76" s="258">
        <f>IFERROR(IF(OR(NOT(ISNUMBER(Data!S53)),NOT(ISNUMBER(Data!T53)),NOT(ISNUMBER(Data!U53)),NOT(ISNUMBER(Data!V53)),NOT(ISNUMBER(Data!S26)),NOT(ISNUMBER(Data!T26)),NOT(ISNUMBER(Data!U26)),NOT(ISNUMBER(Data!V26))),"-",(Data!S53+Data!T53+Data!U53+Data!V53)/(Data!S26+Data!T26+Data!U26+Data!V26)),"-")</f>
        <v/>
      </c>
      <c r="W76" s="258">
        <f>IFERROR(IF(OR(NOT(ISNUMBER(Data!T53)),NOT(ISNUMBER(Data!U53)),NOT(ISNUMBER(Data!V53)),NOT(ISNUMBER(Data!W53)),NOT(ISNUMBER(Data!T26)),NOT(ISNUMBER(Data!U26)),NOT(ISNUMBER(Data!V26)),NOT(ISNUMBER(Data!W26))),"-",(Data!T53+Data!U53+Data!V53+Data!W53)/(Data!T26+Data!U26+Data!V26+Data!W26)),"-")</f>
        <v/>
      </c>
      <c r="X76" s="461">
        <f>IFERROR(IF(OR(NOT(ISNUMBER(Data!U53)),NOT(ISNUMBER(Data!V53)),NOT(ISNUMBER(Data!W53)),NOT(ISNUMBER(Data!X53)),NOT(ISNUMBER(Data!U26)),NOT(ISNUMBER(Data!V26)),NOT(ISNUMBER(Data!W26)),NOT(ISNUMBER(Data!X26))),"-",(Data!U53+Data!V53+Data!W53+Data!X53)/(Data!U26+Data!V26+Data!W26+Data!X26)),"-")</f>
        <v/>
      </c>
      <c r="Y76" s="461">
        <f>IFERROR(IF(OR(NOT(ISNUMBER(Data!V53)),NOT(ISNUMBER(Data!W53)),NOT(ISNUMBER(Data!X53)),NOT(ISNUMBER(Data!Y53)),NOT(ISNUMBER(Data!V26)),NOT(ISNUMBER(Data!W26)),NOT(ISNUMBER(Data!X26)),NOT(ISNUMBER(Data!Y26))),"-",(Data!V53+Data!W53+Data!X53+Data!Y53)/(Data!V26+Data!W26+Data!X26+Data!Y26)),"-")</f>
        <v/>
      </c>
    </row>
    <row r="77" ht="15" customHeight="1" s="74">
      <c r="A77" s="17" t="inlineStr">
        <is>
          <t>CapEx / Revenue</t>
        </is>
      </c>
      <c r="B77" s="81" t="n"/>
      <c r="C77" s="81">
        <f>IFERROR(IF(OR(NOT(ISNUMBER(Data!C52)),NOT(ISNUMBER(Data!C14)),Data!C52=0),"-",ABS(Data!C52)/Data!C14),"-")</f>
        <v/>
      </c>
      <c r="D77" s="81">
        <f>IFERROR(IF(OR(NOT(ISNUMBER(Data!D52)),NOT(ISNUMBER(Data!D14)),Data!D52=0),"-",ABS(Data!D52)/Data!D14),"-")</f>
        <v/>
      </c>
      <c r="E77" s="81">
        <f>IFERROR(IF(OR(NOT(ISNUMBER(Data!E52)),NOT(ISNUMBER(Data!E14)),Data!E52=0),"-",ABS(Data!E52)/Data!E14),"-")</f>
        <v/>
      </c>
      <c r="F77" s="81">
        <f>IFERROR(IF(OR(NOT(ISNUMBER(Data!F52)),NOT(ISNUMBER(Data!F14)),Data!F52=0),"-",ABS(Data!F52)/Data!F14),"-")</f>
        <v/>
      </c>
      <c r="G77" s="81">
        <f>IFERROR(IF(OR(NOT(ISNUMBER(Data!G52)),NOT(ISNUMBER(Data!G14)),Data!G52=0),"-",ABS(Data!G52)/Data!G14),"-")</f>
        <v/>
      </c>
      <c r="H77" s="81">
        <f>IFERROR(IF(OR(NOT(ISNUMBER(Data!H52)),NOT(ISNUMBER(Data!H14)),Data!H52=0),"-",ABS(Data!H52)/Data!H14),"-")</f>
        <v/>
      </c>
      <c r="I77" s="81">
        <f>IFERROR(IF(OR(NOT(ISNUMBER(Data!I52)),NOT(ISNUMBER(Data!I14)),Data!I52=0),"-",ABS(Data!I52)/Data!I14),"-")</f>
        <v/>
      </c>
      <c r="J77" s="81">
        <f>IFERROR(IF(OR(NOT(ISNUMBER(Data!J52)),NOT(ISNUMBER(Data!J14)),Data!J52=0),"-",ABS(Data!J52)/Data!J14),"-")</f>
        <v/>
      </c>
      <c r="K77" s="81">
        <f>IFERROR(IF(OR(NOT(ISNUMBER(Data!K52)),NOT(ISNUMBER(Data!K14)),Data!K52=0),"-",ABS(Data!K52)/Data!K14),"-")</f>
        <v/>
      </c>
      <c r="L77" s="81">
        <f>IFERROR(IF(OR(NOT(ISNUMBER(Data!L52)),NOT(ISNUMBER(Data!L14)),Data!L52=0),"-",ABS(Data!L52)/Data!L14),"-")</f>
        <v/>
      </c>
      <c r="M77" s="261" t="n"/>
      <c r="N77" s="249" t="n"/>
      <c r="O77" s="249" t="n"/>
      <c r="P77" s="249" t="n"/>
      <c r="Q77" s="249" t="n"/>
      <c r="R77" s="249" t="n"/>
      <c r="S77" s="249" t="n"/>
      <c r="T77" s="249" t="n"/>
      <c r="U77" s="249" t="n"/>
      <c r="V77" s="256" t="n"/>
      <c r="W77" s="256" t="n"/>
      <c r="X77" s="461" t="n"/>
      <c r="Y77" s="461" t="n"/>
    </row>
    <row r="78" ht="15" customHeight="1" s="74">
      <c r="A78" s="15" t="inlineStr">
        <is>
          <t>CapEx / D&amp;A</t>
        </is>
      </c>
      <c r="B78" s="83" t="n"/>
      <c r="C78" s="83">
        <f>IFERROR(IF(OR(NOT(ISNUMBER(Data!C52)),NOT(ISNUMBER(Data!C21)),Data!C52=0),"-",ABS(Data!C52)/Data!C21),"-")</f>
        <v/>
      </c>
      <c r="D78" s="83">
        <f>IFERROR(IF(OR(NOT(ISNUMBER(Data!D52)),NOT(ISNUMBER(Data!D21)),Data!D52=0),"-",ABS(Data!D52)/Data!D21),"-")</f>
        <v/>
      </c>
      <c r="E78" s="83">
        <f>IFERROR(IF(OR(NOT(ISNUMBER(Data!E52)),NOT(ISNUMBER(Data!E21)),Data!E52=0),"-",ABS(Data!E52)/Data!E21),"-")</f>
        <v/>
      </c>
      <c r="F78" s="83">
        <f>IFERROR(IF(OR(NOT(ISNUMBER(Data!F52)),NOT(ISNUMBER(Data!F21)),Data!F52=0),"-",ABS(Data!F52)/Data!F21),"-")</f>
        <v/>
      </c>
      <c r="G78" s="83">
        <f>IFERROR(IF(OR(NOT(ISNUMBER(Data!G52)),NOT(ISNUMBER(Data!G21)),Data!G52=0),"-",ABS(Data!G52)/Data!G21),"-")</f>
        <v/>
      </c>
      <c r="H78" s="83">
        <f>IFERROR(IF(OR(NOT(ISNUMBER(Data!H52)),NOT(ISNUMBER(Data!H21)),Data!H52=0),"-",ABS(Data!H52)/Data!H21),"-")</f>
        <v/>
      </c>
      <c r="I78" s="83">
        <f>IFERROR(IF(OR(NOT(ISNUMBER(Data!I52)),NOT(ISNUMBER(Data!I21)),Data!I52=0),"-",ABS(Data!I52)/Data!I21),"-")</f>
        <v/>
      </c>
      <c r="J78" s="83">
        <f>IFERROR(IF(OR(NOT(ISNUMBER(Data!J52)),NOT(ISNUMBER(Data!J21)),Data!J52=0),"-",ABS(Data!J52)/Data!J21),"-")</f>
        <v/>
      </c>
      <c r="K78" s="83">
        <f>IFERROR(IF(OR(NOT(ISNUMBER(Data!K52)),NOT(ISNUMBER(Data!K21)),Data!K52=0),"-",ABS(Data!K52)/Data!K21),"-")</f>
        <v/>
      </c>
      <c r="L78" s="83">
        <f>IFERROR(IF(OR(NOT(ISNUMBER(Data!L52)),NOT(ISNUMBER(Data!L21)),Data!L52=0),"-",ABS(Data!L52)/Data!L21),"-")</f>
        <v/>
      </c>
      <c r="M78" s="261" t="n"/>
      <c r="N78" s="245" t="n"/>
      <c r="O78" s="245" t="n"/>
      <c r="P78" s="245" t="n"/>
      <c r="Q78" s="245" t="n"/>
      <c r="R78" s="245" t="n"/>
      <c r="S78" s="245" t="n"/>
      <c r="T78" s="245" t="n"/>
      <c r="U78" s="245" t="n"/>
      <c r="V78" s="258" t="n"/>
      <c r="W78" s="258" t="n"/>
      <c r="X78" s="461" t="n"/>
      <c r="Y78" s="461" t="n"/>
    </row>
    <row r="79" ht="15" customHeight="1" s="74">
      <c r="A79" s="17" t="inlineStr">
        <is>
          <t>Intangibles / Total Assets</t>
        </is>
      </c>
      <c r="B79" s="81">
        <f>IFERROR(Data!B43/Data!B39,"-")</f>
        <v/>
      </c>
      <c r="C79" s="81">
        <f>IFERROR(Data!C43/Data!C39,"-")</f>
        <v/>
      </c>
      <c r="D79" s="81">
        <f>IFERROR(Data!D43/Data!D39,"-")</f>
        <v/>
      </c>
      <c r="E79" s="81">
        <f>IFERROR(Data!E43/Data!E39,"-")</f>
        <v/>
      </c>
      <c r="F79" s="81">
        <f>IFERROR(Data!F43/Data!F39,"-")</f>
        <v/>
      </c>
      <c r="G79" s="81">
        <f>IFERROR(Data!G43/Data!G39,"-")</f>
        <v/>
      </c>
      <c r="H79" s="81">
        <f>IFERROR(Data!H43/Data!H39,"-")</f>
        <v/>
      </c>
      <c r="I79" s="81">
        <f>IFERROR(Data!I43/Data!I39,"-")</f>
        <v/>
      </c>
      <c r="J79" s="81">
        <f>IFERROR(Data!J43/Data!J39,"-")</f>
        <v/>
      </c>
      <c r="K79" s="81">
        <f>IFERROR(Data!K43/Data!K39,"-")</f>
        <v/>
      </c>
      <c r="L79" s="81">
        <f>IFERROR(Data!L43/Data!L39,"-")</f>
        <v/>
      </c>
      <c r="M79" s="261" t="n"/>
      <c r="N79" s="249" t="n"/>
      <c r="O79" s="249" t="n"/>
      <c r="P79" s="249" t="n"/>
      <c r="Q79" s="249" t="n"/>
      <c r="R79" s="249" t="n"/>
      <c r="S79" s="249" t="n"/>
      <c r="T79" s="249" t="n"/>
      <c r="U79" s="249" t="n"/>
      <c r="V79" s="256" t="n"/>
      <c r="W79" s="256" t="n"/>
      <c r="X79" s="461" t="n"/>
      <c r="Y79" s="461" t="n"/>
    </row>
    <row r="80" ht="15" customHeight="1" s="74">
      <c r="A80" s="15" t="inlineStr">
        <is>
          <t>Net Debt / EBITDA</t>
        </is>
      </c>
      <c r="B80" s="83" t="n"/>
      <c r="C80" s="83">
        <f>IFERROR(IF(OR(NOT(ISNUMBER(Data!C36)),NOT(ISNUMBER(Data!C20))),"-",Data!C36/Data!C20),"-")</f>
        <v/>
      </c>
      <c r="D80" s="83">
        <f>IFERROR(IF(OR(NOT(ISNUMBER(Data!D36)),NOT(ISNUMBER(Data!D20))),"-",Data!D36/Data!D20),"-")</f>
        <v/>
      </c>
      <c r="E80" s="83">
        <f>IFERROR(IF(OR(NOT(ISNUMBER(Data!E36)),NOT(ISNUMBER(Data!E20))),"-",Data!E36/Data!E20),"-")</f>
        <v/>
      </c>
      <c r="F80" s="83">
        <f>IFERROR(IF(OR(NOT(ISNUMBER(Data!F36)),NOT(ISNUMBER(Data!F20))),"-",Data!F36/Data!F20),"-")</f>
        <v/>
      </c>
      <c r="G80" s="83">
        <f>IFERROR(IF(OR(NOT(ISNUMBER(Data!G36)),NOT(ISNUMBER(Data!G20))),"-",Data!G36/Data!G20),"-")</f>
        <v/>
      </c>
      <c r="H80" s="83">
        <f>IFERROR(IF(OR(NOT(ISNUMBER(Data!H36)),NOT(ISNUMBER(Data!H20))),"-",Data!H36/Data!H20),"-")</f>
        <v/>
      </c>
      <c r="I80" s="83">
        <f>IFERROR(IF(OR(NOT(ISNUMBER(Data!I36)),NOT(ISNUMBER(Data!I20))),"-",Data!I36/Data!I20),"-")</f>
        <v/>
      </c>
      <c r="J80" s="83">
        <f>IFERROR(IF(OR(NOT(ISNUMBER(Data!J36)),NOT(ISNUMBER(Data!J20))),"-",Data!J36/Data!J20),"-")</f>
        <v/>
      </c>
      <c r="K80" s="83">
        <f>IFERROR(IF(OR(NOT(ISNUMBER(Data!K36)),NOT(ISNUMBER(Data!K20))),"-",Data!K36/Data!K20),"-")</f>
        <v/>
      </c>
      <c r="L80" s="83">
        <f>IFERROR(IF(OR(NOT(ISNUMBER(Data!L36)),NOT(ISNUMBER(Data!L20))),"-",Data!L36/Data!L20),"-")</f>
        <v/>
      </c>
      <c r="M80" s="261" t="n"/>
      <c r="N80" s="245" t="n"/>
      <c r="O80" s="245" t="n"/>
      <c r="P80" s="245" t="n"/>
      <c r="Q80" s="245">
        <f>IFERROR(IF(OR(NOT(ISNUMBER(Data!Q36)),NOT(ISNUMBER(Data!N20)),NOT(ISNUMBER(Data!O20)),NOT(ISNUMBER(Data!P20)),NOT(ISNUMBER(Data!Q20))),"-",Data!Q36/(Data!N20+Data!O20+Data!P20+Data!Q20)),"-")</f>
        <v/>
      </c>
      <c r="R80" s="245">
        <f>IFERROR(IF(OR(NOT(ISNUMBER(Data!R36)),NOT(ISNUMBER(Data!O20)),NOT(ISNUMBER(Data!P20)),NOT(ISNUMBER(Data!Q20)),NOT(ISNUMBER(Data!R20))),"-",Data!R36/(Data!O20+Data!P20+Data!Q20+Data!R20)),"-")</f>
        <v/>
      </c>
      <c r="S80" s="245">
        <f>IFERROR(IF(OR(NOT(ISNUMBER(Data!S36)),NOT(ISNUMBER(Data!P20)),NOT(ISNUMBER(Data!Q20)),NOT(ISNUMBER(Data!R20)),NOT(ISNUMBER(Data!S20))),"-",Data!S36/(Data!P20+Data!Q20+Data!R20+Data!S20)),"-")</f>
        <v/>
      </c>
      <c r="T80" s="245">
        <f>IFERROR(IF(OR(NOT(ISNUMBER(Data!T36)),NOT(ISNUMBER(Data!Q20)),NOT(ISNUMBER(Data!R20)),NOT(ISNUMBER(Data!S20)),NOT(ISNUMBER(Data!T20))),"-",Data!T36/(Data!Q20+Data!R20+Data!S20+Data!T20)),"-")</f>
        <v/>
      </c>
      <c r="U80" s="245">
        <f>IFERROR(IF(OR(NOT(ISNUMBER(Data!U36)),NOT(ISNUMBER(Data!R20)),NOT(ISNUMBER(Data!S20)),NOT(ISNUMBER(Data!T20)),NOT(ISNUMBER(Data!U20))),"-",Data!U36/(Data!R20+Data!S20+Data!T20+Data!U20)),"-")</f>
        <v/>
      </c>
      <c r="V80" s="258">
        <f>IFERROR(IF(OR(NOT(ISNUMBER(Data!V36)),NOT(ISNUMBER(Data!S20)),NOT(ISNUMBER(Data!T20)),NOT(ISNUMBER(Data!U20)),NOT(ISNUMBER(Data!V20))),"-",Data!V36/(Data!S20+Data!T20+Data!U20+Data!V20)),"-")</f>
        <v/>
      </c>
      <c r="W80" s="258">
        <f>IFERROR(IF(OR(NOT(ISNUMBER(Data!W36)),NOT(ISNUMBER(Data!T20)),NOT(ISNUMBER(Data!U20)),NOT(ISNUMBER(Data!V20)),NOT(ISNUMBER(Data!W20))),"-",Data!W36/(Data!T20+Data!U20+Data!V20+Data!W20)),"-")</f>
        <v/>
      </c>
      <c r="X80" s="461">
        <f>IFERROR(IF(OR(NOT(ISNUMBER(Data!X36)),NOT(ISNUMBER(Data!U20)),NOT(ISNUMBER(Data!V20)),NOT(ISNUMBER(Data!W20)),NOT(ISNUMBER(Data!X20))),"-",Data!X36/(Data!U20+Data!V20+Data!W20+Data!X20)),"-")</f>
        <v/>
      </c>
      <c r="Y80" s="461">
        <f>IFERROR(IF(OR(NOT(ISNUMBER(Data!Y36)),NOT(ISNUMBER(Data!V20)),NOT(ISNUMBER(Data!W20)),NOT(ISNUMBER(Data!X20)),NOT(ISNUMBER(Data!Y20))),"-",Data!Y36/(Data!V20+Data!W20+Data!X20+Data!Y20)),"-")</f>
        <v/>
      </c>
    </row>
    <row r="81" ht="15" customHeight="1" s="74">
      <c r="A81" s="17" t="inlineStr">
        <is>
          <t>Effective Tax Rate</t>
        </is>
      </c>
      <c r="B81" s="81">
        <f>IFERROR(Data!B25/Data!B24,"-")</f>
        <v/>
      </c>
      <c r="C81" s="81">
        <f>IFERROR(IF(OR(NOT(ISNUMBER(Data!C25)),NOT(ISNUMBER(Data!C24))),"-",Data!C25/Data!C24),"-")</f>
        <v/>
      </c>
      <c r="D81" s="81">
        <f>IFERROR(IF(OR(NOT(ISNUMBER(Data!D25)),NOT(ISNUMBER(Data!D24))),"-",Data!D25/Data!D24),"-")</f>
        <v/>
      </c>
      <c r="E81" s="81">
        <f>IFERROR(IF(OR(NOT(ISNUMBER(Data!E25)),NOT(ISNUMBER(Data!E24))),"-",Data!E25/Data!E24),"-")</f>
        <v/>
      </c>
      <c r="F81" s="81">
        <f>IFERROR(IF(OR(NOT(ISNUMBER(Data!F25)),NOT(ISNUMBER(Data!F24))),"-",Data!F25/Data!F24),"-")</f>
        <v/>
      </c>
      <c r="G81" s="81">
        <f>IFERROR(IF(OR(NOT(ISNUMBER(Data!G25)),NOT(ISNUMBER(Data!G24))),"-",Data!G25/Data!G24),"-")</f>
        <v/>
      </c>
      <c r="H81" s="81">
        <f>IFERROR(IF(OR(NOT(ISNUMBER(Data!H25)),NOT(ISNUMBER(Data!H24))),"-",Data!H25/Data!H24),"-")</f>
        <v/>
      </c>
      <c r="I81" s="81">
        <f>IFERROR(IF(OR(NOT(ISNUMBER(Data!I25)),NOT(ISNUMBER(Data!I24))),"-",Data!I25/Data!I24),"-")</f>
        <v/>
      </c>
      <c r="J81" s="81">
        <f>IFERROR(IF(OR(NOT(ISNUMBER(Data!J25)),NOT(ISNUMBER(Data!J24))),"-",Data!J25/Data!J24),"-")</f>
        <v/>
      </c>
      <c r="K81" s="81">
        <f>IFERROR(IF(OR(NOT(ISNUMBER(Data!K25)),NOT(ISNUMBER(Data!K24))),"-",Data!K25/Data!K24),"-")</f>
        <v/>
      </c>
      <c r="L81" s="81">
        <f>IFERROR(IF(OR(NOT(ISNUMBER(Data!L25)),NOT(ISNUMBER(Data!L24))),"-",Data!L25/Data!L24),"-")</f>
        <v/>
      </c>
      <c r="M81" s="261" t="n"/>
      <c r="N81" s="249" t="n"/>
      <c r="O81" s="249" t="n"/>
      <c r="P81" s="249" t="n"/>
      <c r="Q81" s="249">
        <f>IFERROR(IF(OR(NOT(ISNUMBER(Data!N25)),NOT(ISNUMBER(Data!O25)),NOT(ISNUMBER(Data!P25)),NOT(ISNUMBER(Data!Q25)),NOT(ISNUMBER(Data!N24)),NOT(ISNUMBER(Data!O24)),NOT(ISNUMBER(Data!P24)),NOT(ISNUMBER(Data!Q24))),"-",(Data!N25+Data!O25+Data!P25+Data!Q25)/(Data!N24+Data!O24+Data!P24+Data!Q24)),"-")</f>
        <v/>
      </c>
      <c r="R81" s="249">
        <f>IFERROR(IF(OR(NOT(ISNUMBER(Data!O25)),NOT(ISNUMBER(Data!P25)),NOT(ISNUMBER(Data!Q25)),NOT(ISNUMBER(Data!R25)),NOT(ISNUMBER(Data!O24)),NOT(ISNUMBER(Data!P24)),NOT(ISNUMBER(Data!Q24)),NOT(ISNUMBER(Data!R24))),"-",(Data!O25+Data!P25+Data!Q25+Data!R25)/(Data!O24+Data!P24+Data!Q24+Data!R24)),"-")</f>
        <v/>
      </c>
      <c r="S81" s="249">
        <f>IFERROR(IF(OR(NOT(ISNUMBER(Data!P25)),NOT(ISNUMBER(Data!Q25)),NOT(ISNUMBER(Data!R25)),NOT(ISNUMBER(Data!S25)),NOT(ISNUMBER(Data!P24)),NOT(ISNUMBER(Data!Q24)),NOT(ISNUMBER(Data!R24)),NOT(ISNUMBER(Data!S24))),"-",(Data!P25+Data!Q25+Data!R25+Data!S25)/(Data!P24+Data!Q24+Data!R24+Data!S24)),"-")</f>
        <v/>
      </c>
      <c r="T81" s="249">
        <f>IFERROR(IF(OR(NOT(ISNUMBER(Data!Q25)),NOT(ISNUMBER(Data!R25)),NOT(ISNUMBER(Data!S25)),NOT(ISNUMBER(Data!T25)),NOT(ISNUMBER(Data!Q24)),NOT(ISNUMBER(Data!R24)),NOT(ISNUMBER(Data!S24)),NOT(ISNUMBER(Data!T24))),"-",(Data!Q25+Data!R25+Data!S25+Data!T25)/(Data!Q24+Data!R24+Data!S24+Data!T24)),"-")</f>
        <v/>
      </c>
      <c r="U81" s="249">
        <f>IFERROR(IF(OR(NOT(ISNUMBER(Data!R25)),NOT(ISNUMBER(Data!S25)),NOT(ISNUMBER(Data!T25)),NOT(ISNUMBER(Data!U25)),NOT(ISNUMBER(Data!R24)),NOT(ISNUMBER(Data!S24)),NOT(ISNUMBER(Data!T24)),NOT(ISNUMBER(Data!U24))),"-",(Data!R25+Data!S25+Data!T25+Data!U25)/(Data!R24+Data!S24+Data!T24+Data!U24)),"-")</f>
        <v/>
      </c>
      <c r="V81" s="256">
        <f>IFERROR(IF(OR(NOT(ISNUMBER(Data!S25)),NOT(ISNUMBER(Data!T25)),NOT(ISNUMBER(Data!U25)),NOT(ISNUMBER(Data!V25)),NOT(ISNUMBER(Data!S24)),NOT(ISNUMBER(Data!T24)),NOT(ISNUMBER(Data!U24)),NOT(ISNUMBER(Data!V24))),"-",(Data!S25+Data!T25+Data!U25+Data!V25)/(Data!S24+Data!T24+Data!U24+Data!V24)),"-")</f>
        <v/>
      </c>
      <c r="W81" s="256">
        <f>IFERROR(IF(OR(NOT(ISNUMBER(Data!T25)),NOT(ISNUMBER(Data!U25)),NOT(ISNUMBER(Data!V25)),NOT(ISNUMBER(Data!W25)),NOT(ISNUMBER(Data!T24)),NOT(ISNUMBER(Data!U24)),NOT(ISNUMBER(Data!V24)),NOT(ISNUMBER(Data!W24))),"-",(Data!T25+Data!U25+Data!V25+Data!W25)/(Data!T24+Data!U24+Data!V24+Data!W24)),"-")</f>
        <v/>
      </c>
      <c r="X81" s="461">
        <f>IFERROR(IF(OR(NOT(ISNUMBER(Data!U25)),NOT(ISNUMBER(Data!V25)),NOT(ISNUMBER(Data!W25)),NOT(ISNUMBER(Data!X25)),NOT(ISNUMBER(Data!U24)),NOT(ISNUMBER(Data!V24)),NOT(ISNUMBER(Data!W24)),NOT(ISNUMBER(Data!X24))),"-",(Data!U25+Data!V25+Data!W25+Data!X25)/(Data!U24+Data!V24+Data!W24+Data!X24)),"-")</f>
        <v/>
      </c>
      <c r="Y81" s="461">
        <f>IFERROR(IF(OR(NOT(ISNUMBER(Data!V25)),NOT(ISNUMBER(Data!W25)),NOT(ISNUMBER(Data!X25)),NOT(ISNUMBER(Data!Y25)),NOT(ISNUMBER(Data!V24)),NOT(ISNUMBER(Data!W24)),NOT(ISNUMBER(Data!X24)),NOT(ISNUMBER(Data!Y24))),"-",(Data!V25+Data!W25+Data!X25+Data!Y25)/(Data!V24+Data!W24+Data!X24+Data!Y24)),"-")</f>
        <v/>
      </c>
    </row>
    <row r="82" ht="15" customHeight="1" s="74">
      <c r="A82" s="10" t="n"/>
      <c r="B82" s="10" t="n"/>
      <c r="C82" s="10" t="n"/>
      <c r="D82" s="10" t="n"/>
      <c r="E82" s="10" t="n"/>
      <c r="F82" s="10" t="n"/>
      <c r="G82" s="10" t="n"/>
      <c r="H82" s="10" t="n"/>
      <c r="I82" s="10" t="n"/>
      <c r="J82" s="10" t="n"/>
      <c r="K82" s="10" t="n"/>
      <c r="L82" s="10" t="n"/>
      <c r="N82" s="10" t="n"/>
      <c r="O82" s="10" t="n"/>
      <c r="P82" s="10" t="n"/>
      <c r="Q82" s="10" t="n"/>
      <c r="R82" s="10" t="n"/>
      <c r="S82" s="10" t="n"/>
      <c r="T82" s="10" t="n"/>
      <c r="U82" s="10" t="n"/>
    </row>
    <row r="83" ht="15" customHeight="1" s="74">
      <c r="A83" s="252" t="n"/>
    </row>
    <row r="84" ht="19" customHeight="1" s="74">
      <c r="A84" s="226" t="inlineStr">
        <is>
          <t>SHAREHOLDER METRICS</t>
        </is>
      </c>
      <c r="N84" s="2" t="n"/>
      <c r="O84" s="2" t="n"/>
      <c r="P84" s="2" t="n"/>
      <c r="Q84" s="2" t="n"/>
      <c r="R84" s="2" t="n"/>
      <c r="S84" s="2" t="n"/>
      <c r="T84" s="2" t="n"/>
      <c r="U84" s="2" t="n"/>
    </row>
    <row r="85" ht="15" customHeight="1" s="74">
      <c r="A85" s="14" t="inlineStr">
        <is>
          <t>Period</t>
        </is>
      </c>
      <c r="B85" s="14">
        <f>Data!B13</f>
        <v/>
      </c>
      <c r="C85" s="14">
        <f>Data!C13</f>
        <v/>
      </c>
      <c r="D85" s="14">
        <f>Data!D13</f>
        <v/>
      </c>
      <c r="E85" s="14">
        <f>Data!E13</f>
        <v/>
      </c>
      <c r="F85" s="14">
        <f>Data!F13</f>
        <v/>
      </c>
      <c r="G85" s="14">
        <f>Data!G13</f>
        <v/>
      </c>
      <c r="H85" s="14">
        <f>Data!H13</f>
        <v/>
      </c>
      <c r="I85" s="14">
        <f>Data!I13</f>
        <v/>
      </c>
      <c r="J85" s="14">
        <f>Data!J13</f>
        <v/>
      </c>
      <c r="K85" s="14">
        <f>Data!K13</f>
        <v/>
      </c>
      <c r="L85" s="14">
        <f>Data!L13</f>
        <v/>
      </c>
      <c r="N85" s="265" t="n"/>
      <c r="O85" s="265" t="n"/>
      <c r="P85" s="265" t="n"/>
      <c r="Q85" s="265" t="n"/>
      <c r="R85" s="265" t="n"/>
      <c r="S85" s="265" t="n"/>
      <c r="T85" s="265" t="n"/>
      <c r="U85" s="265" t="n"/>
      <c r="V85" s="265" t="n"/>
      <c r="W85" s="265" t="n"/>
      <c r="X85" s="265" t="n"/>
      <c r="Y85" s="265" t="n"/>
    </row>
    <row r="86" ht="15" customHeight="1" s="74">
      <c r="A86" s="17" t="inlineStr">
        <is>
          <t>Dividend Per Share</t>
        </is>
      </c>
      <c r="B86" s="22" t="n"/>
      <c r="C86" s="22">
        <f>IFERROR(IF(OR(NOT(ISNUMBER(Data!C55)),NOT(ISNUMBER(Data!C28)),Data!C55=0),"-",ABS(Data!C55)/Data!C28),"-")</f>
        <v/>
      </c>
      <c r="D86" s="22">
        <f>IFERROR(IF(OR(NOT(ISNUMBER(Data!D55)),NOT(ISNUMBER(Data!D28)),Data!D55=0),"-",ABS(Data!D55)/Data!D28),"-")</f>
        <v/>
      </c>
      <c r="E86" s="22">
        <f>IFERROR(IF(OR(NOT(ISNUMBER(Data!E55)),NOT(ISNUMBER(Data!E28)),Data!E55=0),"-",ABS(Data!E55)/Data!E28),"-")</f>
        <v/>
      </c>
      <c r="F86" s="22">
        <f>IFERROR(IF(OR(NOT(ISNUMBER(Data!F55)),NOT(ISNUMBER(Data!F28)),Data!F55=0),"-",ABS(Data!F55)/Data!F28),"-")</f>
        <v/>
      </c>
      <c r="G86" s="22">
        <f>IFERROR(IF(OR(NOT(ISNUMBER(Data!G55)),NOT(ISNUMBER(Data!G28)),Data!G55=0),"-",ABS(Data!G55)/Data!G28),"-")</f>
        <v/>
      </c>
      <c r="H86" s="22">
        <f>IFERROR(IF(OR(NOT(ISNUMBER(Data!H55)),NOT(ISNUMBER(Data!H28)),Data!H55=0),"-",ABS(Data!H55)/Data!H28),"-")</f>
        <v/>
      </c>
      <c r="I86" s="22">
        <f>IFERROR(IF(OR(NOT(ISNUMBER(Data!I55)),NOT(ISNUMBER(Data!I28)),Data!I55=0),"-",ABS(Data!I55)/Data!I28),"-")</f>
        <v/>
      </c>
      <c r="J86" s="22">
        <f>IFERROR(IF(OR(NOT(ISNUMBER(Data!J55)),NOT(ISNUMBER(Data!J28)),Data!J55=0),"-",ABS(Data!J55)/Data!J28),"-")</f>
        <v/>
      </c>
      <c r="K86" s="22">
        <f>IFERROR(IF(OR(NOT(ISNUMBER(Data!K55)),NOT(ISNUMBER(Data!K28)),Data!K55=0),"-",ABS(Data!K55)/Data!K28),"-")</f>
        <v/>
      </c>
      <c r="L86" s="22">
        <f>IFERROR(IF(OR(NOT(ISNUMBER(Data!L55)),NOT(ISNUMBER(Data!L28)),Data!L55=0),"-",ABS(Data!L55)/Data!L28),"-")</f>
        <v/>
      </c>
      <c r="M86" s="261" t="n"/>
      <c r="N86" s="271" t="n"/>
      <c r="O86" s="271" t="n"/>
      <c r="P86" s="271" t="n"/>
      <c r="Q86" s="271" t="n"/>
      <c r="R86" s="271" t="n"/>
      <c r="S86" s="271" t="n"/>
      <c r="T86" s="271" t="n"/>
      <c r="U86" s="271" t="n"/>
      <c r="V86" s="261" t="n"/>
      <c r="W86" s="261" t="n"/>
      <c r="X86" s="465" t="n"/>
      <c r="Y86" s="465" t="n"/>
    </row>
    <row r="87" ht="15" customHeight="1" s="74">
      <c r="A87" s="17" t="inlineStr">
        <is>
          <t>Dividend Yield (on current price)</t>
        </is>
      </c>
      <c r="B87" s="8">
        <f>IFERROR(ABS(Data!B55)/(Data!B8*Data!B28),"-")</f>
        <v/>
      </c>
      <c r="C87" s="8">
        <f>IFERROR(IF(OR(NOT(ISNUMBER(Data!C55)),NOT(ISNUMBER(Data!C28)),NOT(ISNUMBER(Data!$B$8)),Data!C55=0),"-",ABS(Data!C55)/(Data!$B$8*Data!C28)),"-")</f>
        <v/>
      </c>
      <c r="D87" s="8">
        <f>IFERROR(IF(OR(NOT(ISNUMBER(Data!D55)),NOT(ISNUMBER(Data!D28)),NOT(ISNUMBER(Data!$B$8)),Data!D55=0),"-",ABS(Data!D55)/(Data!$B$8*Data!D28)),"-")</f>
        <v/>
      </c>
      <c r="E87" s="8">
        <f>IFERROR(IF(OR(NOT(ISNUMBER(Data!E55)),NOT(ISNUMBER(Data!E28)),NOT(ISNUMBER(Data!$B$8)),Data!E55=0),"-",ABS(Data!E55)/(Data!$B$8*Data!E28)),"-")</f>
        <v/>
      </c>
      <c r="F87" s="8">
        <f>IFERROR(IF(OR(NOT(ISNUMBER(Data!F55)),NOT(ISNUMBER(Data!F28)),NOT(ISNUMBER(Data!$B$8)),Data!F55=0),"-",ABS(Data!F55)/(Data!$B$8*Data!F28)),"-")</f>
        <v/>
      </c>
      <c r="G87" s="8">
        <f>IFERROR(IF(OR(NOT(ISNUMBER(Data!G55)),NOT(ISNUMBER(Data!G28)),NOT(ISNUMBER(Data!$B$8)),Data!G55=0),"-",ABS(Data!G55)/(Data!$B$8*Data!G28)),"-")</f>
        <v/>
      </c>
      <c r="H87" s="8">
        <f>IFERROR(IF(OR(NOT(ISNUMBER(Data!H55)),NOT(ISNUMBER(Data!H28)),NOT(ISNUMBER(Data!$B$8)),Data!H55=0),"-",ABS(Data!H55)/(Data!$B$8*Data!H28)),"-")</f>
        <v/>
      </c>
      <c r="I87" s="8">
        <f>IFERROR(IF(OR(NOT(ISNUMBER(Data!I55)),NOT(ISNUMBER(Data!I28)),NOT(ISNUMBER(Data!$B$8)),Data!I55=0),"-",ABS(Data!I55)/(Data!$B$8*Data!I28)),"-")</f>
        <v/>
      </c>
      <c r="J87" s="8">
        <f>IFERROR(IF(OR(NOT(ISNUMBER(Data!J55)),NOT(ISNUMBER(Data!J28)),NOT(ISNUMBER(Data!$B$8)),Data!J55=0),"-",ABS(Data!J55)/(Data!$B$8*Data!J28)),"-")</f>
        <v/>
      </c>
      <c r="K87" s="8">
        <f>IFERROR(IF(OR(NOT(ISNUMBER(Data!K55)),NOT(ISNUMBER(Data!K28)),NOT(ISNUMBER(Data!$B$8)),Data!K55=0),"-",ABS(Data!K55)/(Data!$B$8*Data!K28)),"-")</f>
        <v/>
      </c>
      <c r="L87" s="8">
        <f>IFERROR(IF(OR(NOT(ISNUMBER(Data!L55)),NOT(ISNUMBER(Data!L28)),NOT(ISNUMBER(Data!$B$8)),Data!L55=0),"-",ABS(Data!L55)/(Data!$B$8*Data!L28)),"-")</f>
        <v/>
      </c>
      <c r="M87" s="261" t="n"/>
      <c r="N87" s="272" t="n"/>
      <c r="O87" s="272" t="n"/>
      <c r="P87" s="272" t="n"/>
      <c r="Q87" s="272" t="n"/>
      <c r="R87" s="272" t="n"/>
      <c r="S87" s="272" t="n"/>
      <c r="T87" s="272" t="n"/>
      <c r="U87" s="272" t="n"/>
      <c r="V87" s="261" t="n"/>
      <c r="W87" s="261" t="n"/>
      <c r="X87" s="465" t="n"/>
      <c r="Y87" s="465" t="n"/>
    </row>
    <row r="88" ht="15" customHeight="1" s="74">
      <c r="A88" s="17" t="inlineStr">
        <is>
          <t>SBC / Net Income</t>
        </is>
      </c>
      <c r="B88" s="90">
        <f>IFERROR(Data!B54/Data!B26,"-")</f>
        <v/>
      </c>
      <c r="C88" s="90">
        <f>IFERROR(IF(OR(NOT(ISNUMBER(Data!C54)),NOT(ISNUMBER(Data!C26))),"-",Data!C54/Data!C26),"-")</f>
        <v/>
      </c>
      <c r="D88" s="90">
        <f>IFERROR(IF(OR(NOT(ISNUMBER(Data!D54)),NOT(ISNUMBER(Data!D26))),"-",Data!D54/Data!D26),"-")</f>
        <v/>
      </c>
      <c r="E88" s="90">
        <f>IFERROR(IF(OR(NOT(ISNUMBER(Data!E54)),NOT(ISNUMBER(Data!E26))),"-",Data!E54/Data!E26),"-")</f>
        <v/>
      </c>
      <c r="F88" s="90">
        <f>IFERROR(IF(OR(NOT(ISNUMBER(Data!F54)),NOT(ISNUMBER(Data!F26))),"-",Data!F54/Data!F26),"-")</f>
        <v/>
      </c>
      <c r="G88" s="90">
        <f>IFERROR(IF(OR(NOT(ISNUMBER(Data!G54)),NOT(ISNUMBER(Data!G26))),"-",Data!G54/Data!G26),"-")</f>
        <v/>
      </c>
      <c r="H88" s="90">
        <f>IFERROR(IF(OR(NOT(ISNUMBER(Data!H54)),NOT(ISNUMBER(Data!H26))),"-",Data!H54/Data!H26),"-")</f>
        <v/>
      </c>
      <c r="I88" s="90">
        <f>IFERROR(IF(OR(NOT(ISNUMBER(Data!I54)),NOT(ISNUMBER(Data!I26))),"-",Data!I54/Data!I26),"-")</f>
        <v/>
      </c>
      <c r="J88" s="90">
        <f>IFERROR(IF(OR(NOT(ISNUMBER(Data!J54)),NOT(ISNUMBER(Data!J26))),"-",Data!J54/Data!J26),"-")</f>
        <v/>
      </c>
      <c r="K88" s="90">
        <f>IFERROR(IF(OR(NOT(ISNUMBER(Data!K54)),NOT(ISNUMBER(Data!K26))),"-",Data!K54/Data!K26),"-")</f>
        <v/>
      </c>
      <c r="L88" s="90">
        <f>IFERROR(IF(OR(NOT(ISNUMBER(Data!L54)),NOT(ISNUMBER(Data!L26))),"-",Data!L54/Data!L26),"-")</f>
        <v/>
      </c>
      <c r="M88" s="261" t="n"/>
      <c r="N88" s="266" t="n"/>
      <c r="O88" s="266" t="n"/>
      <c r="P88" s="266" t="n"/>
      <c r="Q88" s="266" t="n"/>
      <c r="R88" s="266" t="n"/>
      <c r="S88" s="266" t="n"/>
      <c r="T88" s="266" t="n"/>
      <c r="U88" s="266" t="n"/>
      <c r="V88" s="261" t="n"/>
      <c r="W88" s="261" t="n"/>
      <c r="X88" s="465" t="n"/>
      <c r="Y88" s="465" t="n"/>
    </row>
    <row r="89" ht="15" customHeight="1" s="74">
      <c r="A89" s="15" t="inlineStr">
        <is>
          <t>Buyback Yield</t>
        </is>
      </c>
      <c r="B89" s="89">
        <f>IFERROR(ABS(Data!B56)/(Data!B8*Data!B28),"-")</f>
        <v/>
      </c>
      <c r="C89" s="89">
        <f>IFERROR(IF(OR(NOT(ISNUMBER(Data!C56)),NOT(ISNUMBER(Data!C28)),NOT(ISNUMBER(Data!$B$8)),Data!C56=0),"-",ABS(Data!C56)/(Data!$B$8*Data!C28)),"-")</f>
        <v/>
      </c>
      <c r="D89" s="89">
        <f>IFERROR(IF(OR(NOT(ISNUMBER(Data!D56)),NOT(ISNUMBER(Data!D28)),NOT(ISNUMBER(Data!$B$8)),Data!D56=0),"-",ABS(Data!D56)/(Data!$B$8*Data!D28)),"-")</f>
        <v/>
      </c>
      <c r="E89" s="89">
        <f>IFERROR(IF(OR(NOT(ISNUMBER(Data!E56)),NOT(ISNUMBER(Data!E28)),NOT(ISNUMBER(Data!$B$8)),Data!E56=0),"-",ABS(Data!E56)/(Data!$B$8*Data!E28)),"-")</f>
        <v/>
      </c>
      <c r="F89" s="89">
        <f>IFERROR(IF(OR(NOT(ISNUMBER(Data!F56)),NOT(ISNUMBER(Data!F28)),NOT(ISNUMBER(Data!$B$8)),Data!F56=0),"-",ABS(Data!F56)/(Data!$B$8*Data!F28)),"-")</f>
        <v/>
      </c>
      <c r="G89" s="89">
        <f>IFERROR(IF(OR(NOT(ISNUMBER(Data!G56)),NOT(ISNUMBER(Data!G28)),NOT(ISNUMBER(Data!$B$8)),Data!G56=0),"-",ABS(Data!G56)/(Data!$B$8*Data!G28)),"-")</f>
        <v/>
      </c>
      <c r="H89" s="89">
        <f>IFERROR(IF(OR(NOT(ISNUMBER(Data!H56)),NOT(ISNUMBER(Data!H28)),NOT(ISNUMBER(Data!$B$8)),Data!H56=0),"-",ABS(Data!H56)/(Data!$B$8*Data!H28)),"-")</f>
        <v/>
      </c>
      <c r="I89" s="89">
        <f>IFERROR(IF(OR(NOT(ISNUMBER(Data!I56)),NOT(ISNUMBER(Data!I28)),NOT(ISNUMBER(Data!$B$8)),Data!I56=0),"-",ABS(Data!I56)/(Data!$B$8*Data!I28)),"-")</f>
        <v/>
      </c>
      <c r="J89" s="89">
        <f>IFERROR(IF(OR(NOT(ISNUMBER(Data!J56)),NOT(ISNUMBER(Data!J28)),NOT(ISNUMBER(Data!$B$8)),Data!J56=0),"-",ABS(Data!J56)/(Data!$B$8*Data!J28)),"-")</f>
        <v/>
      </c>
      <c r="K89" s="89">
        <f>IFERROR(IF(OR(NOT(ISNUMBER(Data!K56)),NOT(ISNUMBER(Data!K28)),NOT(ISNUMBER(Data!$B$8)),Data!K56=0),"-",ABS(Data!K56)/(Data!$B$8*Data!K28)),"-")</f>
        <v/>
      </c>
      <c r="L89" s="89">
        <f>IFERROR(IF(OR(NOT(ISNUMBER(Data!L56)),NOT(ISNUMBER(Data!L28)),NOT(ISNUMBER(Data!$B$8)),Data!L56=0),"-",ABS(Data!L56)/(Data!$B$8*Data!L28)),"-")</f>
        <v/>
      </c>
      <c r="M89" s="261" t="n"/>
      <c r="N89" s="266" t="n"/>
      <c r="O89" s="266" t="n"/>
      <c r="P89" s="266" t="n"/>
      <c r="Q89" s="266" t="n"/>
      <c r="R89" s="266" t="n"/>
      <c r="S89" s="266" t="n"/>
      <c r="T89" s="266" t="n"/>
      <c r="U89" s="266" t="n"/>
      <c r="V89" s="261" t="n"/>
      <c r="W89" s="261" t="n"/>
      <c r="X89" s="465" t="n"/>
      <c r="Y89" s="465" t="n"/>
    </row>
    <row r="90" ht="15" customHeight="1" s="74">
      <c r="A90" s="17" t="inlineStr">
        <is>
          <t>Total Shareholder Return Yield</t>
        </is>
      </c>
      <c r="B90" s="90">
        <f>IFERROR((ABS(Data!B55)+ABS(Data!B56))/(Data!B8*Data!B28),"-")</f>
        <v/>
      </c>
      <c r="C90" s="90">
        <f>IFERROR(IF(OR(NOT(ISNUMBER(Data!C28)),NOT(ISNUMBER(Data!$B$8))),"-",(ABS(Data!C55)+ABS(Data!C56))/(Data!$B$8*Data!C28)),"-")</f>
        <v/>
      </c>
      <c r="D90" s="90">
        <f>IFERROR(IF(OR(NOT(ISNUMBER(Data!D28)),NOT(ISNUMBER(Data!$B$8))),"-",(ABS(Data!D55)+ABS(Data!D56))/(Data!$B$8*Data!D28)),"-")</f>
        <v/>
      </c>
      <c r="E90" s="90">
        <f>IFERROR(IF(OR(NOT(ISNUMBER(Data!E28)),NOT(ISNUMBER(Data!$B$8))),"-",(ABS(Data!E55)+ABS(Data!E56))/(Data!$B$8*Data!E28)),"-")</f>
        <v/>
      </c>
      <c r="F90" s="90">
        <f>IFERROR(IF(OR(NOT(ISNUMBER(Data!F28)),NOT(ISNUMBER(Data!$B$8))),"-",(ABS(Data!F55)+ABS(Data!F56))/(Data!$B$8*Data!F28)),"-")</f>
        <v/>
      </c>
      <c r="G90" s="90">
        <f>IFERROR(IF(OR(NOT(ISNUMBER(Data!G28)),NOT(ISNUMBER(Data!$B$8))),"-",(ABS(Data!G55)+ABS(Data!G56))/(Data!$B$8*Data!G28)),"-")</f>
        <v/>
      </c>
      <c r="H90" s="90">
        <f>IFERROR(IF(OR(NOT(ISNUMBER(Data!H28)),NOT(ISNUMBER(Data!$B$8))),"-",(ABS(Data!H55)+ABS(Data!H56))/(Data!$B$8*Data!H28)),"-")</f>
        <v/>
      </c>
      <c r="I90" s="90">
        <f>IFERROR(IF(OR(NOT(ISNUMBER(Data!I28)),NOT(ISNUMBER(Data!$B$8))),"-",(ABS(Data!I55)+ABS(Data!I56))/(Data!$B$8*Data!I28)),"-")</f>
        <v/>
      </c>
      <c r="J90" s="90">
        <f>IFERROR(IF(OR(NOT(ISNUMBER(Data!J28)),NOT(ISNUMBER(Data!$B$8))),"-",(ABS(Data!J55)+ABS(Data!J56))/(Data!$B$8*Data!J28)),"-")</f>
        <v/>
      </c>
      <c r="K90" s="90">
        <f>IFERROR(IF(OR(NOT(ISNUMBER(Data!K28)),NOT(ISNUMBER(Data!$B$8))),"-",(ABS(Data!K55)+ABS(Data!K56))/(Data!$B$8*Data!K28)),"-")</f>
        <v/>
      </c>
      <c r="L90" s="90">
        <f>IFERROR(IF(OR(NOT(ISNUMBER(Data!L28)),NOT(ISNUMBER(Data!$B$8))),"-",(ABS(Data!L55)+ABS(Data!L56))/(Data!$B$8*Data!L28)),"-")</f>
        <v/>
      </c>
      <c r="M90" s="261" t="n"/>
      <c r="N90" s="266" t="n"/>
      <c r="O90" s="266" t="n"/>
      <c r="P90" s="266" t="n"/>
      <c r="Q90" s="266" t="n"/>
      <c r="R90" s="266" t="n"/>
      <c r="S90" s="266" t="n"/>
      <c r="T90" s="266" t="n"/>
      <c r="U90" s="266" t="n"/>
      <c r="V90" s="261" t="n"/>
      <c r="W90" s="261" t="n"/>
      <c r="X90" s="465" t="n"/>
      <c r="Y90" s="465" t="n"/>
    </row>
    <row r="91" ht="15" customHeight="1" s="74">
      <c r="A91" s="17" t="inlineStr">
        <is>
          <t>Price / Tangible Book</t>
        </is>
      </c>
      <c r="B91" s="91">
        <f>IFERROR(Data!B8/((Data!B41-Data!B43)/Data!B28),"-")</f>
        <v/>
      </c>
      <c r="C91" s="91">
        <f>IFERROR(Data!B8/((Data!C41-Data!C43)/Data!C28),"-")</f>
        <v/>
      </c>
      <c r="D91" s="91">
        <f>IFERROR(Data!B8/((Data!D41-Data!D43)/Data!D28),"-")</f>
        <v/>
      </c>
      <c r="E91" s="91">
        <f>IFERROR(Data!B8/((Data!E41-Data!E43)/Data!E28),"-")</f>
        <v/>
      </c>
      <c r="F91" s="91">
        <f>IFERROR(Data!B8/((Data!F41-Data!F43)/Data!F28),"-")</f>
        <v/>
      </c>
      <c r="G91" s="91">
        <f>IFERROR(Data!B8/((Data!G41-Data!G43)/Data!G28),"-")</f>
        <v/>
      </c>
      <c r="H91" s="91">
        <f>IFERROR(Data!B8/((Data!H41-Data!H43)/Data!H28),"-")</f>
        <v/>
      </c>
      <c r="I91" s="91">
        <f>IFERROR(Data!B8/((Data!I41-Data!I43)/Data!I28),"-")</f>
        <v/>
      </c>
      <c r="J91" s="91">
        <f>IFERROR(Data!B8/((Data!J41-Data!J43)/Data!J28),"-")</f>
        <v/>
      </c>
      <c r="K91" s="91">
        <f>IFERROR(Data!B8/((Data!K41-Data!K43)/Data!K28),"-")</f>
        <v/>
      </c>
      <c r="L91" s="91">
        <f>IFERROR(Data!B8/((Data!L41-Data!L43)/Data!L28),"-")</f>
        <v/>
      </c>
      <c r="M91" s="261" t="n"/>
      <c r="N91" s="273" t="n"/>
      <c r="O91" s="273" t="n"/>
      <c r="P91" s="273" t="n"/>
      <c r="Q91" s="273" t="n"/>
      <c r="R91" s="273" t="n"/>
      <c r="S91" s="273" t="n"/>
      <c r="T91" s="273" t="n"/>
      <c r="U91" s="273" t="n"/>
      <c r="V91" s="261" t="n"/>
      <c r="W91" s="261" t="n"/>
      <c r="X91" s="465" t="n"/>
      <c r="Y91" s="465" t="n"/>
    </row>
    <row r="92" ht="15" customHeight="1" s="74">
      <c r="A92" s="10" t="n"/>
      <c r="B92" s="10" t="n"/>
      <c r="C92" s="10" t="n"/>
      <c r="D92" s="10" t="n"/>
      <c r="E92" s="10" t="n"/>
      <c r="F92" s="10" t="n"/>
      <c r="G92" s="10" t="n"/>
      <c r="H92" s="10" t="n"/>
      <c r="I92" s="10" t="n"/>
      <c r="J92" s="10" t="n"/>
      <c r="K92" s="10" t="n"/>
      <c r="L92" s="10" t="n"/>
      <c r="N92" s="10" t="n"/>
      <c r="O92" s="10" t="n"/>
      <c r="P92" s="10" t="n"/>
      <c r="Q92" s="10" t="n"/>
      <c r="R92" s="10" t="n"/>
      <c r="S92" s="10" t="n"/>
      <c r="T92" s="10" t="n"/>
      <c r="U92" s="10" t="n"/>
    </row>
    <row r="93" ht="19" customHeight="1" s="74">
      <c r="A93" s="226" t="inlineStr">
        <is>
          <t>VALUATION MULTIPLES (at current price)</t>
        </is>
      </c>
    </row>
    <row r="94" ht="28" customHeight="1" s="74">
      <c r="A94" s="14" t="inlineStr">
        <is>
          <t>Period</t>
        </is>
      </c>
      <c r="B94" s="14">
        <f>Data!B13</f>
        <v/>
      </c>
      <c r="C94" s="14">
        <f>Data!C13</f>
        <v/>
      </c>
      <c r="D94" s="14">
        <f>Data!D13</f>
        <v/>
      </c>
      <c r="E94" s="14">
        <f>Data!E13</f>
        <v/>
      </c>
      <c r="F94" s="14">
        <f>Data!F13</f>
        <v/>
      </c>
      <c r="G94" s="14">
        <f>Data!G13</f>
        <v/>
      </c>
      <c r="H94" s="14">
        <f>Data!H13</f>
        <v/>
      </c>
      <c r="I94" s="14">
        <f>Data!I13</f>
        <v/>
      </c>
      <c r="J94" s="14">
        <f>Data!J13</f>
        <v/>
      </c>
      <c r="K94" s="14">
        <f>Data!K13</f>
        <v/>
      </c>
      <c r="L94" s="14">
        <f>Data!L13</f>
        <v/>
      </c>
      <c r="N94" s="267" t="inlineStr">
        <is>
          <t>Year -2
Q1</t>
        </is>
      </c>
      <c r="O94" s="267" t="inlineStr">
        <is>
          <t>Year -2
Q2</t>
        </is>
      </c>
      <c r="P94" s="267" t="inlineStr">
        <is>
          <t>Year -2
Q3</t>
        </is>
      </c>
      <c r="Q94" s="267" t="inlineStr">
        <is>
          <t>Year -2
Q4</t>
        </is>
      </c>
      <c r="R94" s="267" t="inlineStr">
        <is>
          <t>Year -1
Q1</t>
        </is>
      </c>
      <c r="S94" s="267" t="inlineStr">
        <is>
          <t>Year -1
Q2</t>
        </is>
      </c>
      <c r="T94" s="267" t="inlineStr">
        <is>
          <t>Year -1
Q3</t>
        </is>
      </c>
      <c r="U94" s="267" t="inlineStr">
        <is>
          <t>Year -1
Q4</t>
        </is>
      </c>
      <c r="V94" s="267" t="inlineStr">
        <is>
          <t>Current Year
Q1</t>
        </is>
      </c>
      <c r="W94" s="267" t="inlineStr">
        <is>
          <t>Current Year
Q2</t>
        </is>
      </c>
      <c r="X94" s="267" t="inlineStr">
        <is>
          <t>Current Year
Q3</t>
        </is>
      </c>
      <c r="Y94" s="267" t="inlineStr">
        <is>
          <t>Current Year
Q4</t>
        </is>
      </c>
    </row>
    <row r="95" ht="15" customHeight="1" s="74">
      <c r="A95" s="17" t="inlineStr">
        <is>
          <t>P/E</t>
        </is>
      </c>
      <c r="B95" s="91">
        <f>IFERROR(Data!B8/Data!B27,"-")</f>
        <v/>
      </c>
      <c r="C95" s="91">
        <f>IFERROR(IF(OR(NOT(ISNUMBER(Data!$B$8)),NOT(ISNUMBER(Data!C27))),"-",Data!$B$8/Data!C27),"-")</f>
        <v/>
      </c>
      <c r="D95" s="91">
        <f>IFERROR(IF(OR(NOT(ISNUMBER(Data!$B$8)),NOT(ISNUMBER(Data!D27))),"-",Data!$B$8/Data!D27),"-")</f>
        <v/>
      </c>
      <c r="E95" s="91">
        <f>IFERROR(IF(OR(NOT(ISNUMBER(Data!$B$8)),NOT(ISNUMBER(Data!E27))),"-",Data!$B$8/Data!E27),"-")</f>
        <v/>
      </c>
      <c r="F95" s="91">
        <f>IFERROR(IF(OR(NOT(ISNUMBER(Data!$B$8)),NOT(ISNUMBER(Data!F27))),"-",Data!$B$8/Data!F27),"-")</f>
        <v/>
      </c>
      <c r="G95" s="91">
        <f>IFERROR(IF(OR(NOT(ISNUMBER(Data!$B$8)),NOT(ISNUMBER(Data!G27))),"-",Data!$B$8/Data!G27),"-")</f>
        <v/>
      </c>
      <c r="H95" s="91">
        <f>IFERROR(IF(OR(NOT(ISNUMBER(Data!$B$8)),NOT(ISNUMBER(Data!H27))),"-",Data!$B$8/Data!H27),"-")</f>
        <v/>
      </c>
      <c r="I95" s="91">
        <f>IFERROR(IF(OR(NOT(ISNUMBER(Data!$B$8)),NOT(ISNUMBER(Data!I27))),"-",Data!$B$8/Data!I27),"-")</f>
        <v/>
      </c>
      <c r="J95" s="91">
        <f>IFERROR(IF(OR(NOT(ISNUMBER(Data!$B$8)),NOT(ISNUMBER(Data!J27))),"-",Data!$B$8/Data!J27),"-")</f>
        <v/>
      </c>
      <c r="K95" s="91">
        <f>IFERROR(IF(OR(NOT(ISNUMBER(Data!$B$8)),NOT(ISNUMBER(Data!K27))),"-",Data!$B$8/Data!K27),"-")</f>
        <v/>
      </c>
      <c r="L95" s="91">
        <f>IFERROR(IF(OR(NOT(ISNUMBER(Data!$B$8)),NOT(ISNUMBER(Data!L27))),"-",Data!$B$8/Data!L27),"-")</f>
        <v/>
      </c>
      <c r="M95" s="261" t="n"/>
      <c r="N95" s="244" t="n"/>
      <c r="O95" s="244" t="n"/>
      <c r="P95" s="244" t="n"/>
      <c r="Q95" s="244">
        <f>IFERROR(IF(OR(NOT(ISNUMBER(Data!$B$8)),NOT(ISNUMBER(Data!N27)),NOT(ISNUMBER(Data!O27)),NOT(ISNUMBER(Data!P27)),NOT(ISNUMBER(Data!Q27))),"-",Data!$B$8/(Data!N27+Data!O27+Data!P27+Data!Q27)),"-")</f>
        <v/>
      </c>
      <c r="R95" s="244">
        <f>IFERROR(IF(OR(NOT(ISNUMBER(Data!$B$8)),NOT(ISNUMBER(Data!O27)),NOT(ISNUMBER(Data!P27)),NOT(ISNUMBER(Data!Q27)),NOT(ISNUMBER(Data!R27))),"-",Data!$B$8/(Data!O27+Data!P27+Data!Q27+Data!R27)),"-")</f>
        <v/>
      </c>
      <c r="S95" s="244">
        <f>IFERROR(IF(OR(NOT(ISNUMBER(Data!$B$8)),NOT(ISNUMBER(Data!P27)),NOT(ISNUMBER(Data!Q27)),NOT(ISNUMBER(Data!R27)),NOT(ISNUMBER(Data!S27))),"-",Data!$B$8/(Data!P27+Data!Q27+Data!R27+Data!S27)),"-")</f>
        <v/>
      </c>
      <c r="T95" s="244">
        <f>IFERROR(IF(OR(NOT(ISNUMBER(Data!$B$8)),NOT(ISNUMBER(Data!Q27)),NOT(ISNUMBER(Data!R27)),NOT(ISNUMBER(Data!S27)),NOT(ISNUMBER(Data!T27))),"-",Data!$B$8/(Data!Q27+Data!R27+Data!S27+Data!T27)),"-")</f>
        <v/>
      </c>
      <c r="U95" s="244">
        <f>IFERROR(IF(OR(NOT(ISNUMBER(Data!$B$8)),NOT(ISNUMBER(Data!R27)),NOT(ISNUMBER(Data!S27)),NOT(ISNUMBER(Data!T27)),NOT(ISNUMBER(Data!U27))),"-",Data!$B$8/(Data!R27+Data!S27+Data!T27+Data!U27)),"-")</f>
        <v/>
      </c>
      <c r="V95" s="256">
        <f>IFERROR(IF(OR(NOT(ISNUMBER(Data!$B$8)),NOT(ISNUMBER(Data!S27)),NOT(ISNUMBER(Data!T27)),NOT(ISNUMBER(Data!U27)),NOT(ISNUMBER(Data!V27))),"-",Data!$B$8/(Data!S27+Data!T27+Data!U27+Data!V27)),"-")</f>
        <v/>
      </c>
      <c r="W95" s="256">
        <f>IFERROR(IF(OR(NOT(ISNUMBER(Data!$B$8)),NOT(ISNUMBER(Data!T27)),NOT(ISNUMBER(Data!U27)),NOT(ISNUMBER(Data!V27)),NOT(ISNUMBER(Data!W27))),"-",Data!$B$8/(Data!T27+Data!U27+Data!V27+Data!W27)),"-")</f>
        <v/>
      </c>
      <c r="X95" s="256">
        <f>IFERROR(IF(OR(NOT(ISNUMBER(Data!$B$8)),NOT(ISNUMBER(Data!U27)),NOT(ISNUMBER(Data!V27)),NOT(ISNUMBER(Data!W27)),NOT(ISNUMBER(Data!X27))),"-",Data!$B$8/(Data!U27+Data!V27+Data!W27+Data!X27)),"-")</f>
        <v/>
      </c>
      <c r="Y95" s="256">
        <f>IFERROR(IF(OR(NOT(ISNUMBER(Data!$B$8)),NOT(ISNUMBER(Data!V27)),NOT(ISNUMBER(Data!W27)),NOT(ISNUMBER(Data!X27)),NOT(ISNUMBER(Data!Y27))),"-",Data!$B$8/(Data!V27+Data!W27+Data!X27+Data!Y27)),"-")</f>
        <v/>
      </c>
    </row>
    <row r="96" ht="15" customHeight="1" s="74">
      <c r="A96" s="15" t="inlineStr">
        <is>
          <t>P/S</t>
        </is>
      </c>
      <c r="B96" s="92">
        <f>IFERROR(Data!B8/(Data!B14/Data!B28),"-")</f>
        <v/>
      </c>
      <c r="C96" s="92">
        <f>IFERROR(IF(OR(NOT(ISNUMBER(Data!$B$8)),NOT(ISNUMBER(Data!C28)),NOT(ISNUMBER(Data!C14))),"-",(Data!$B$8*Data!C28)/Data!C14),"-")</f>
        <v/>
      </c>
      <c r="D96" s="92">
        <f>IFERROR(IF(OR(NOT(ISNUMBER(Data!$B$8)),NOT(ISNUMBER(Data!D28)),NOT(ISNUMBER(Data!D14))),"-",(Data!$B$8*Data!D28)/Data!D14),"-")</f>
        <v/>
      </c>
      <c r="E96" s="92">
        <f>IFERROR(IF(OR(NOT(ISNUMBER(Data!$B$8)),NOT(ISNUMBER(Data!E28)),NOT(ISNUMBER(Data!E14))),"-",(Data!$B$8*Data!E28)/Data!E14),"-")</f>
        <v/>
      </c>
      <c r="F96" s="92">
        <f>IFERROR(IF(OR(NOT(ISNUMBER(Data!$B$8)),NOT(ISNUMBER(Data!F28)),NOT(ISNUMBER(Data!F14))),"-",(Data!$B$8*Data!F28)/Data!F14),"-")</f>
        <v/>
      </c>
      <c r="G96" s="92">
        <f>IFERROR(IF(OR(NOT(ISNUMBER(Data!$B$8)),NOT(ISNUMBER(Data!G28)),NOT(ISNUMBER(Data!G14))),"-",(Data!$B$8*Data!G28)/Data!G14),"-")</f>
        <v/>
      </c>
      <c r="H96" s="92">
        <f>IFERROR(IF(OR(NOT(ISNUMBER(Data!$B$8)),NOT(ISNUMBER(Data!H28)),NOT(ISNUMBER(Data!H14))),"-",(Data!$B$8*Data!H28)/Data!H14),"-")</f>
        <v/>
      </c>
      <c r="I96" s="92">
        <f>IFERROR(IF(OR(NOT(ISNUMBER(Data!$B$8)),NOT(ISNUMBER(Data!I28)),NOT(ISNUMBER(Data!I14))),"-",(Data!$B$8*Data!I28)/Data!I14),"-")</f>
        <v/>
      </c>
      <c r="J96" s="92">
        <f>IFERROR(IF(OR(NOT(ISNUMBER(Data!$B$8)),NOT(ISNUMBER(Data!J28)),NOT(ISNUMBER(Data!J14))),"-",(Data!$B$8*Data!J28)/Data!J14),"-")</f>
        <v/>
      </c>
      <c r="K96" s="92">
        <f>IFERROR(IF(OR(NOT(ISNUMBER(Data!$B$8)),NOT(ISNUMBER(Data!K28)),NOT(ISNUMBER(Data!K14))),"-",(Data!$B$8*Data!K28)/Data!K14),"-")</f>
        <v/>
      </c>
      <c r="L96" s="92">
        <f>IFERROR(IF(OR(NOT(ISNUMBER(Data!$B$8)),NOT(ISNUMBER(Data!L28)),NOT(ISNUMBER(Data!L14))),"-",(Data!$B$8*Data!L28)/Data!L14),"-")</f>
        <v/>
      </c>
      <c r="M96" s="261" t="n"/>
      <c r="N96" s="245" t="n"/>
      <c r="O96" s="245" t="n"/>
      <c r="P96" s="245" t="n"/>
      <c r="Q96" s="245">
        <f>IFERROR(IF(OR(NOT(ISNUMBER(Data!$B$8)),NOT(ISNUMBER(Data!Q28)),NOT(ISNUMBER(Data!N14)),NOT(ISNUMBER(Data!O14)),NOT(ISNUMBER(Data!P14)),NOT(ISNUMBER(Data!Q14))),"-",(Data!$B$8*Data!Q28)/(Data!N14+Data!O14+Data!P14+Data!Q14)),"-")</f>
        <v/>
      </c>
      <c r="R96" s="245">
        <f>IFERROR(IF(OR(NOT(ISNUMBER(Data!$B$8)),NOT(ISNUMBER(Data!R28)),NOT(ISNUMBER(Data!O14)),NOT(ISNUMBER(Data!P14)),NOT(ISNUMBER(Data!Q14)),NOT(ISNUMBER(Data!R14))),"-",(Data!$B$8*Data!R28)/(Data!O14+Data!P14+Data!Q14+Data!R14)),"-")</f>
        <v/>
      </c>
      <c r="S96" s="245">
        <f>IFERROR(IF(OR(NOT(ISNUMBER(Data!$B$8)),NOT(ISNUMBER(Data!S28)),NOT(ISNUMBER(Data!P14)),NOT(ISNUMBER(Data!Q14)),NOT(ISNUMBER(Data!R14)),NOT(ISNUMBER(Data!S14))),"-",(Data!$B$8*Data!S28)/(Data!P14+Data!Q14+Data!R14+Data!S14)),"-")</f>
        <v/>
      </c>
      <c r="T96" s="245">
        <f>IFERROR(IF(OR(NOT(ISNUMBER(Data!$B$8)),NOT(ISNUMBER(Data!T28)),NOT(ISNUMBER(Data!Q14)),NOT(ISNUMBER(Data!R14)),NOT(ISNUMBER(Data!S14)),NOT(ISNUMBER(Data!T14))),"-",(Data!$B$8*Data!T28)/(Data!Q14+Data!R14+Data!S14+Data!T14)),"-")</f>
        <v/>
      </c>
      <c r="U96" s="245">
        <f>IFERROR(IF(OR(NOT(ISNUMBER(Data!$B$8)),NOT(ISNUMBER(Data!U28)),NOT(ISNUMBER(Data!R14)),NOT(ISNUMBER(Data!S14)),NOT(ISNUMBER(Data!T14)),NOT(ISNUMBER(Data!U14))),"-",(Data!$B$8*Data!U28)/(Data!R14+Data!S14+Data!T14+Data!U14)),"-")</f>
        <v/>
      </c>
      <c r="V96" s="258">
        <f>IFERROR(IF(OR(NOT(ISNUMBER(Data!$B$8)),NOT(ISNUMBER(Data!V28)),NOT(ISNUMBER(Data!S14)),NOT(ISNUMBER(Data!T14)),NOT(ISNUMBER(Data!U14)),NOT(ISNUMBER(Data!V14))),"-",(Data!$B$8*Data!V28)/(Data!S14+Data!T14+Data!U14+Data!V14)),"-")</f>
        <v/>
      </c>
      <c r="W96" s="258">
        <f>IFERROR(IF(OR(NOT(ISNUMBER(Data!$B$8)),NOT(ISNUMBER(Data!W28)),NOT(ISNUMBER(Data!T14)),NOT(ISNUMBER(Data!U14)),NOT(ISNUMBER(Data!V14)),NOT(ISNUMBER(Data!W14))),"-",(Data!$B$8*Data!W28)/(Data!T14+Data!U14+Data!V14+Data!W14)),"-")</f>
        <v/>
      </c>
      <c r="X96" s="258">
        <f>IFERROR(IF(OR(NOT(ISNUMBER(Data!$B$8)),NOT(ISNUMBER(Data!X28)),NOT(ISNUMBER(Data!U14)),NOT(ISNUMBER(Data!V14)),NOT(ISNUMBER(Data!W14)),NOT(ISNUMBER(Data!X14))),"-",(Data!$B$8*Data!X28)/(Data!U14+Data!V14+Data!W14+Data!X14)),"-")</f>
        <v/>
      </c>
      <c r="Y96" s="258">
        <f>IFERROR(IF(OR(NOT(ISNUMBER(Data!$B$8)),NOT(ISNUMBER(Data!Y28)),NOT(ISNUMBER(Data!V14)),NOT(ISNUMBER(Data!W14)),NOT(ISNUMBER(Data!X14)),NOT(ISNUMBER(Data!Y14))),"-",(Data!$B$8*Data!Y28)/(Data!V14+Data!W14+Data!X14+Data!Y14)),"-")</f>
        <v/>
      </c>
    </row>
    <row r="97" ht="15" customHeight="1" s="74">
      <c r="A97" s="17" t="inlineStr">
        <is>
          <t>P/B</t>
        </is>
      </c>
      <c r="B97" s="2">
        <f>IFERROR(Data!B8/(Data!B41/Data!B28),"-")</f>
        <v/>
      </c>
      <c r="C97" s="2">
        <f>IFERROR(IF(OR(NOT(ISNUMBER(Data!$B$8)),NOT(ISNUMBER(Metrics!C30))),"-",Data!$B$8/Metrics!C30),"-")</f>
        <v/>
      </c>
      <c r="D97" s="2">
        <f>IFERROR(IF(OR(NOT(ISNUMBER(Data!$B$8)),NOT(ISNUMBER(Metrics!D30))),"-",Data!$B$8/Metrics!D30),"-")</f>
        <v/>
      </c>
      <c r="E97" s="2">
        <f>IFERROR(IF(OR(NOT(ISNUMBER(Data!$B$8)),NOT(ISNUMBER(Metrics!E30))),"-",Data!$B$8/Metrics!E30),"-")</f>
        <v/>
      </c>
      <c r="F97" s="2">
        <f>IFERROR(IF(OR(NOT(ISNUMBER(Data!$B$8)),NOT(ISNUMBER(Metrics!F30))),"-",Data!$B$8/Metrics!F30),"-")</f>
        <v/>
      </c>
      <c r="G97" s="2">
        <f>IFERROR(IF(OR(NOT(ISNUMBER(Data!$B$8)),NOT(ISNUMBER(Metrics!G30))),"-",Data!$B$8/Metrics!G30),"-")</f>
        <v/>
      </c>
      <c r="H97" s="2">
        <f>IFERROR(IF(OR(NOT(ISNUMBER(Data!$B$8)),NOT(ISNUMBER(Metrics!H30))),"-",Data!$B$8/Metrics!H30),"-")</f>
        <v/>
      </c>
      <c r="I97" s="2">
        <f>IFERROR(IF(OR(NOT(ISNUMBER(Data!$B$8)),NOT(ISNUMBER(Metrics!I30))),"-",Data!$B$8/Metrics!I30),"-")</f>
        <v/>
      </c>
      <c r="J97" s="2">
        <f>IFERROR(IF(OR(NOT(ISNUMBER(Data!$B$8)),NOT(ISNUMBER(Metrics!J30))),"-",Data!$B$8/Metrics!J30),"-")</f>
        <v/>
      </c>
      <c r="K97" s="2">
        <f>IFERROR(IF(OR(NOT(ISNUMBER(Data!$B$8)),NOT(ISNUMBER(Metrics!K30))),"-",Data!$B$8/Metrics!K30),"-")</f>
        <v/>
      </c>
      <c r="L97" s="2">
        <f>IFERROR(IF(OR(NOT(ISNUMBER(Data!$B$8)),NOT(ISNUMBER(Metrics!L30))),"-",Data!$B$8/Metrics!L30),"-")</f>
        <v/>
      </c>
      <c r="M97" s="261" t="n"/>
      <c r="N97" s="224" t="n"/>
      <c r="O97" s="224" t="n"/>
      <c r="P97" s="224" t="n"/>
      <c r="Q97" s="224">
        <f>IFERROR(IF(OR(NOT(ISNUMBER(Data!$B$8)),NOT(ISNUMBER(Data!Q41)),NOT(ISNUMBER(Data!Q28))),"-",Data!$B$8/(Data!Q41/Data!Q28)),"-")</f>
        <v/>
      </c>
      <c r="R97" s="224">
        <f>IFERROR(IF(OR(NOT(ISNUMBER(Data!$B$8)),NOT(ISNUMBER(Data!R41)),NOT(ISNUMBER(Data!R28))),"-",Data!$B$8/(Data!R41/Data!R28)),"-")</f>
        <v/>
      </c>
      <c r="S97" s="224">
        <f>IFERROR(IF(OR(NOT(ISNUMBER(Data!$B$8)),NOT(ISNUMBER(Data!S41)),NOT(ISNUMBER(Data!S28))),"-",Data!$B$8/(Data!S41/Data!S28)),"-")</f>
        <v/>
      </c>
      <c r="T97" s="224">
        <f>IFERROR(IF(OR(NOT(ISNUMBER(Data!$B$8)),NOT(ISNUMBER(Data!T41)),NOT(ISNUMBER(Data!T28))),"-",Data!$B$8/(Data!T41/Data!T28)),"-")</f>
        <v/>
      </c>
      <c r="U97" s="224">
        <f>IFERROR(IF(OR(NOT(ISNUMBER(Data!$B$8)),NOT(ISNUMBER(Data!U41)),NOT(ISNUMBER(Data!U28))),"-",Data!$B$8/(Data!U41/Data!U28)),"-")</f>
        <v/>
      </c>
      <c r="V97" s="224">
        <f>IFERROR(IF(OR(NOT(ISNUMBER(Data!$B$8)),NOT(ISNUMBER(Data!V41)),NOT(ISNUMBER(Data!V28))),"-",Data!$B$8/(Data!V41/Data!V28)),"-")</f>
        <v/>
      </c>
      <c r="W97" s="224">
        <f>IFERROR(IF(OR(NOT(ISNUMBER(Data!$B$8)),NOT(ISNUMBER(Data!W41)),NOT(ISNUMBER(Data!W28))),"-",Data!$B$8/(Data!W41/Data!W28)),"-")</f>
        <v/>
      </c>
      <c r="X97" s="224">
        <f>IFERROR(IF(OR(NOT(ISNUMBER(Data!$B$8)),NOT(ISNUMBER(Data!X41)),NOT(ISNUMBER(Data!X28))),"-",Data!$B$8/(Data!X41/Data!X28)),"-")</f>
        <v/>
      </c>
      <c r="Y97" s="224">
        <f>IFERROR(IF(OR(NOT(ISNUMBER(Data!$B$8)),NOT(ISNUMBER(Data!Y41)),NOT(ISNUMBER(Data!Y28))),"-",Data!$B$8/(Data!Y41/Data!Y28)),"-")</f>
        <v/>
      </c>
    </row>
    <row r="98" ht="15" customHeight="1" s="74">
      <c r="A98" s="15" t="inlineStr">
        <is>
          <t>P/FCF</t>
        </is>
      </c>
      <c r="B98" s="92">
        <f>IFERROR(Data!B8/(Data!B53/Data!B28),"-")</f>
        <v/>
      </c>
      <c r="C98" s="92">
        <f>IFERROR(IF(OR(NOT(ISNUMBER(Data!$B$8)),NOT(ISNUMBER(Metrics!C31))),"-",Data!$B$8/Metrics!C31),"-")</f>
        <v/>
      </c>
      <c r="D98" s="92">
        <f>IFERROR(IF(OR(NOT(ISNUMBER(Data!$B$8)),NOT(ISNUMBER(Metrics!D31))),"-",Data!$B$8/Metrics!D31),"-")</f>
        <v/>
      </c>
      <c r="E98" s="92">
        <f>IFERROR(IF(OR(NOT(ISNUMBER(Data!$B$8)),NOT(ISNUMBER(Metrics!E31))),"-",Data!$B$8/Metrics!E31),"-")</f>
        <v/>
      </c>
      <c r="F98" s="92">
        <f>IFERROR(IF(OR(NOT(ISNUMBER(Data!$B$8)),NOT(ISNUMBER(Metrics!F31))),"-",Data!$B$8/Metrics!F31),"-")</f>
        <v/>
      </c>
      <c r="G98" s="92">
        <f>IFERROR(IF(OR(NOT(ISNUMBER(Data!$B$8)),NOT(ISNUMBER(Metrics!G31))),"-",Data!$B$8/Metrics!G31),"-")</f>
        <v/>
      </c>
      <c r="H98" s="92">
        <f>IFERROR(IF(OR(NOT(ISNUMBER(Data!$B$8)),NOT(ISNUMBER(Metrics!H31))),"-",Data!$B$8/Metrics!H31),"-")</f>
        <v/>
      </c>
      <c r="I98" s="92">
        <f>IFERROR(IF(OR(NOT(ISNUMBER(Data!$B$8)),NOT(ISNUMBER(Metrics!I31))),"-",Data!$B$8/Metrics!I31),"-")</f>
        <v/>
      </c>
      <c r="J98" s="92">
        <f>IFERROR(IF(OR(NOT(ISNUMBER(Data!$B$8)),NOT(ISNUMBER(Metrics!J31))),"-",Data!$B$8/Metrics!J31),"-")</f>
        <v/>
      </c>
      <c r="K98" s="92">
        <f>IFERROR(IF(OR(NOT(ISNUMBER(Data!$B$8)),NOT(ISNUMBER(Metrics!K31))),"-",Data!$B$8/Metrics!K31),"-")</f>
        <v/>
      </c>
      <c r="L98" s="92">
        <f>IFERROR(IF(OR(NOT(ISNUMBER(Data!$B$8)),NOT(ISNUMBER(Metrics!L31))),"-",Data!$B$8/Metrics!L31),"-")</f>
        <v/>
      </c>
      <c r="M98" s="261" t="n"/>
      <c r="N98" s="245" t="n"/>
      <c r="O98" s="245" t="n"/>
      <c r="P98" s="245" t="n"/>
      <c r="Q98" s="245">
        <f>IFERROR(IF(OR(NOT(ISNUMBER(Data!$B$8)),NOT(ISNUMBER(Data!Q28)),NOT(ISNUMBER(Data!N53)),NOT(ISNUMBER(Data!O53)),NOT(ISNUMBER(Data!P53)),NOT(ISNUMBER(Data!Q53))),"-",Data!$B$8/((Data!N53+Data!O53+Data!P53+Data!Q53)/Data!Q28)),"-")</f>
        <v/>
      </c>
      <c r="R98" s="245">
        <f>IFERROR(IF(OR(NOT(ISNUMBER(Data!$B$8)),NOT(ISNUMBER(Data!R28)),NOT(ISNUMBER(Data!O53)),NOT(ISNUMBER(Data!P53)),NOT(ISNUMBER(Data!Q53)),NOT(ISNUMBER(Data!R53))),"-",Data!$B$8/((Data!O53+Data!P53+Data!Q53+Data!R53)/Data!R28)),"-")</f>
        <v/>
      </c>
      <c r="S98" s="245">
        <f>IFERROR(IF(OR(NOT(ISNUMBER(Data!$B$8)),NOT(ISNUMBER(Data!S28)),NOT(ISNUMBER(Data!P53)),NOT(ISNUMBER(Data!Q53)),NOT(ISNUMBER(Data!R53)),NOT(ISNUMBER(Data!S53))),"-",Data!$B$8/((Data!P53+Data!Q53+Data!R53+Data!S53)/Data!S28)),"-")</f>
        <v/>
      </c>
      <c r="T98" s="245">
        <f>IFERROR(IF(OR(NOT(ISNUMBER(Data!$B$8)),NOT(ISNUMBER(Data!T28)),NOT(ISNUMBER(Data!Q53)),NOT(ISNUMBER(Data!R53)),NOT(ISNUMBER(Data!S53)),NOT(ISNUMBER(Data!T53))),"-",Data!$B$8/((Data!Q53+Data!R53+Data!S53+Data!T53)/Data!T28)),"-")</f>
        <v/>
      </c>
      <c r="U98" s="245">
        <f>IFERROR(IF(OR(NOT(ISNUMBER(Data!$B$8)),NOT(ISNUMBER(Data!U28)),NOT(ISNUMBER(Data!R53)),NOT(ISNUMBER(Data!S53)),NOT(ISNUMBER(Data!T53)),NOT(ISNUMBER(Data!U53))),"-",Data!$B$8/((Data!R53+Data!S53+Data!T53+Data!U53)/Data!U28)),"-")</f>
        <v/>
      </c>
      <c r="V98" s="258">
        <f>IFERROR(IF(OR(NOT(ISNUMBER(Data!$B$8)),NOT(ISNUMBER(Data!V28)),NOT(ISNUMBER(Data!S53)),NOT(ISNUMBER(Data!T53)),NOT(ISNUMBER(Data!U53)),NOT(ISNUMBER(Data!V53))),"-",Data!$B$8/((Data!S53+Data!T53+Data!U53+Data!V53)/Data!V28)),"-")</f>
        <v/>
      </c>
      <c r="W98" s="258">
        <f>IFERROR(IF(OR(NOT(ISNUMBER(Data!$B$8)),NOT(ISNUMBER(Data!W28)),NOT(ISNUMBER(Data!T53)),NOT(ISNUMBER(Data!U53)),NOT(ISNUMBER(Data!V53)),NOT(ISNUMBER(Data!W53))),"-",Data!$B$8/((Data!T53+Data!U53+Data!V53+Data!W53)/Data!W28)),"-")</f>
        <v/>
      </c>
      <c r="X98" s="258">
        <f>IFERROR(IF(OR(NOT(ISNUMBER(Data!$B$8)),NOT(ISNUMBER(Data!X28)),NOT(ISNUMBER(Data!U53)),NOT(ISNUMBER(Data!V53)),NOT(ISNUMBER(Data!W53)),NOT(ISNUMBER(Data!X53))),"-",Data!$B$8/((Data!U53+Data!V53+Data!W53+Data!X53)/Data!X28)),"-")</f>
        <v/>
      </c>
      <c r="Y98" s="258">
        <f>IFERROR(IF(OR(NOT(ISNUMBER(Data!$B$8)),NOT(ISNUMBER(Data!Y28)),NOT(ISNUMBER(Data!V53)),NOT(ISNUMBER(Data!W53)),NOT(ISNUMBER(Data!X53)),NOT(ISNUMBER(Data!Y53))),"-",Data!$B$8/((Data!V53+Data!W53+Data!X53+Data!Y53)/Data!Y28)),"-")</f>
        <v/>
      </c>
    </row>
    <row r="99" ht="15" customHeight="1" s="74">
      <c r="A99" s="17" t="inlineStr">
        <is>
          <t>EV/EBITDA</t>
        </is>
      </c>
      <c r="B99" s="91">
        <f>IFERROR((Data!B8*Data!B28+Data!B36+Data!B42)/Data!B20,"-")</f>
        <v/>
      </c>
      <c r="C99" s="91">
        <f>IFERROR(IF(OR(NOT(ISNUMBER(Data!$B$8)),NOT(ISNUMBER(Data!C28)),NOT(ISNUMBER(Data!C20))),"-",(Data!$B$8*Data!C28+Data!C36+Data!C42)/Data!C20),"-")</f>
        <v/>
      </c>
      <c r="D99" s="91">
        <f>IFERROR(IF(OR(NOT(ISNUMBER(Data!$B$8)),NOT(ISNUMBER(Data!D28)),NOT(ISNUMBER(Data!D20))),"-",(Data!$B$8*Data!D28+Data!D36+Data!D42)/Data!D20),"-")</f>
        <v/>
      </c>
      <c r="E99" s="91">
        <f>IFERROR(IF(OR(NOT(ISNUMBER(Data!$B$8)),NOT(ISNUMBER(Data!E28)),NOT(ISNUMBER(Data!E20))),"-",(Data!$B$8*Data!E28+Data!E36+Data!E42)/Data!E20),"-")</f>
        <v/>
      </c>
      <c r="F99" s="91">
        <f>IFERROR(IF(OR(NOT(ISNUMBER(Data!$B$8)),NOT(ISNUMBER(Data!F28)),NOT(ISNUMBER(Data!F20))),"-",(Data!$B$8*Data!F28+Data!F36+Data!F42)/Data!F20),"-")</f>
        <v/>
      </c>
      <c r="G99" s="91">
        <f>IFERROR(IF(OR(NOT(ISNUMBER(Data!$B$8)),NOT(ISNUMBER(Data!G28)),NOT(ISNUMBER(Data!G20))),"-",(Data!$B$8*Data!G28+Data!G36+Data!G42)/Data!G20),"-")</f>
        <v/>
      </c>
      <c r="H99" s="91">
        <f>IFERROR(IF(OR(NOT(ISNUMBER(Data!$B$8)),NOT(ISNUMBER(Data!H28)),NOT(ISNUMBER(Data!H20))),"-",(Data!$B$8*Data!H28+Data!H36+Data!H42)/Data!H20),"-")</f>
        <v/>
      </c>
      <c r="I99" s="91">
        <f>IFERROR(IF(OR(NOT(ISNUMBER(Data!$B$8)),NOT(ISNUMBER(Data!I28)),NOT(ISNUMBER(Data!I20))),"-",(Data!$B$8*Data!I28+Data!I36+Data!I42)/Data!I20),"-")</f>
        <v/>
      </c>
      <c r="J99" s="91">
        <f>IFERROR(IF(OR(NOT(ISNUMBER(Data!$B$8)),NOT(ISNUMBER(Data!J28)),NOT(ISNUMBER(Data!J20))),"-",(Data!$B$8*Data!J28+Data!J36+Data!J42)/Data!J20),"-")</f>
        <v/>
      </c>
      <c r="K99" s="91">
        <f>IFERROR(IF(OR(NOT(ISNUMBER(Data!$B$8)),NOT(ISNUMBER(Data!K28)),NOT(ISNUMBER(Data!K20))),"-",(Data!$B$8*Data!K28+Data!K36+Data!K42)/Data!K20),"-")</f>
        <v/>
      </c>
      <c r="L99" s="91">
        <f>IFERROR(IF(OR(NOT(ISNUMBER(Data!$B$8)),NOT(ISNUMBER(Data!L28)),NOT(ISNUMBER(Data!L20))),"-",(Data!$B$8*Data!L28+Data!L36+Data!L42)/Data!L20),"-")</f>
        <v/>
      </c>
      <c r="M99" s="261" t="n"/>
      <c r="N99" s="244" t="n"/>
      <c r="O99" s="244" t="n"/>
      <c r="P99" s="244" t="n"/>
      <c r="Q99" s="244">
        <f>IFERROR(IF(OR(NOT(ISNUMBER(Data!$B$8)),NOT(ISNUMBER(Data!Q28)),NOT(ISNUMBER(Data!N20)),NOT(ISNUMBER(Data!O20)),NOT(ISNUMBER(Data!P20)),NOT(ISNUMBER(Data!Q20))),"-",(Data!$B$8*Data!Q28+Data!Q36+Data!Q42)/(Data!N20+Data!O20+Data!P20+Data!Q20)),"-")</f>
        <v/>
      </c>
      <c r="R99" s="244">
        <f>IFERROR(IF(OR(NOT(ISNUMBER(Data!$B$8)),NOT(ISNUMBER(Data!R28)),NOT(ISNUMBER(Data!O20)),NOT(ISNUMBER(Data!P20)),NOT(ISNUMBER(Data!Q20)),NOT(ISNUMBER(Data!R20))),"-",(Data!$B$8*Data!R28+Data!R36+Data!R42)/(Data!O20+Data!P20+Data!Q20+Data!R20)),"-")</f>
        <v/>
      </c>
      <c r="S99" s="244">
        <f>IFERROR(IF(OR(NOT(ISNUMBER(Data!$B$8)),NOT(ISNUMBER(Data!S28)),NOT(ISNUMBER(Data!P20)),NOT(ISNUMBER(Data!Q20)),NOT(ISNUMBER(Data!R20)),NOT(ISNUMBER(Data!S20))),"-",(Data!$B$8*Data!S28+Data!S36+Data!S42)/(Data!P20+Data!Q20+Data!R20+Data!S20)),"-")</f>
        <v/>
      </c>
      <c r="T99" s="244">
        <f>IFERROR(IF(OR(NOT(ISNUMBER(Data!$B$8)),NOT(ISNUMBER(Data!T28)),NOT(ISNUMBER(Data!Q20)),NOT(ISNUMBER(Data!R20)),NOT(ISNUMBER(Data!S20)),NOT(ISNUMBER(Data!T20))),"-",(Data!$B$8*Data!T28+Data!T36+Data!T42)/(Data!Q20+Data!R20+Data!S20+Data!T20)),"-")</f>
        <v/>
      </c>
      <c r="U99" s="244">
        <f>IFERROR(IF(OR(NOT(ISNUMBER(Data!$B$8)),NOT(ISNUMBER(Data!U28)),NOT(ISNUMBER(Data!R20)),NOT(ISNUMBER(Data!S20)),NOT(ISNUMBER(Data!T20)),NOT(ISNUMBER(Data!U20))),"-",(Data!$B$8*Data!U28+Data!U36+Data!U42)/(Data!R20+Data!S20+Data!T20+Data!U20)),"-")</f>
        <v/>
      </c>
      <c r="V99" s="256">
        <f>IFERROR(IF(OR(NOT(ISNUMBER(Data!$B$8)),NOT(ISNUMBER(Data!V28)),NOT(ISNUMBER(Data!S20)),NOT(ISNUMBER(Data!T20)),NOT(ISNUMBER(Data!U20)),NOT(ISNUMBER(Data!V20))),"-",(Data!$B$8*Data!V28+Data!V36+Data!V42)/(Data!S20+Data!T20+Data!U20+Data!V20)),"-")</f>
        <v/>
      </c>
      <c r="W99" s="256">
        <f>IFERROR(IF(OR(NOT(ISNUMBER(Data!$B$8)),NOT(ISNUMBER(Data!W28)),NOT(ISNUMBER(Data!T20)),NOT(ISNUMBER(Data!U20)),NOT(ISNUMBER(Data!V20)),NOT(ISNUMBER(Data!W20))),"-",(Data!$B$8*Data!W28+Data!W36+Data!W42)/(Data!T20+Data!U20+Data!V20+Data!W20)),"-")</f>
        <v/>
      </c>
      <c r="X99" s="256">
        <f>IFERROR(IF(OR(NOT(ISNUMBER(Data!$B$8)),NOT(ISNUMBER(Data!X28)),NOT(ISNUMBER(Data!U20)),NOT(ISNUMBER(Data!V20)),NOT(ISNUMBER(Data!W20)),NOT(ISNUMBER(Data!X20))),"-",(Data!$B$8*Data!X28+Data!X36+Data!X42)/(Data!U20+Data!V20+Data!W20+Data!X20)),"-")</f>
        <v/>
      </c>
      <c r="Y99" s="256">
        <f>IFERROR(IF(OR(NOT(ISNUMBER(Data!$B$8)),NOT(ISNUMBER(Data!Y28)),NOT(ISNUMBER(Data!V20)),NOT(ISNUMBER(Data!W20)),NOT(ISNUMBER(Data!X20)),NOT(ISNUMBER(Data!Y20))),"-",(Data!$B$8*Data!Y28+Data!Y36+Data!Y42)/(Data!V20+Data!W20+Data!X20+Data!Y20)),"-")</f>
        <v/>
      </c>
    </row>
    <row r="100" ht="15" customHeight="1" s="74">
      <c r="A100" s="15" t="inlineStr">
        <is>
          <t>EV/EBIT</t>
        </is>
      </c>
      <c r="B100" s="92">
        <f>IFERROR((Data!B8*Data!B28+Data!B36+Data!B42)/Data!B22,"-")</f>
        <v/>
      </c>
      <c r="C100" s="92">
        <f>IFERROR(IF(OR(NOT(ISNUMBER(Data!$B$8)),NOT(ISNUMBER(Data!C28)),NOT(ISNUMBER(Data!C22))),"-",(Data!$B$8*Data!C28+Data!C36+Data!C42)/Data!C22),"-")</f>
        <v/>
      </c>
      <c r="D100" s="92">
        <f>IFERROR(IF(OR(NOT(ISNUMBER(Data!$B$8)),NOT(ISNUMBER(Data!D28)),NOT(ISNUMBER(Data!D22))),"-",(Data!$B$8*Data!D28+Data!D36+Data!D42)/Data!D22),"-")</f>
        <v/>
      </c>
      <c r="E100" s="92">
        <f>IFERROR(IF(OR(NOT(ISNUMBER(Data!$B$8)),NOT(ISNUMBER(Data!E28)),NOT(ISNUMBER(Data!E22))),"-",(Data!$B$8*Data!E28+Data!E36+Data!E42)/Data!E22),"-")</f>
        <v/>
      </c>
      <c r="F100" s="92">
        <f>IFERROR(IF(OR(NOT(ISNUMBER(Data!$B$8)),NOT(ISNUMBER(Data!F28)),NOT(ISNUMBER(Data!F22))),"-",(Data!$B$8*Data!F28+Data!F36+Data!F42)/Data!F22),"-")</f>
        <v/>
      </c>
      <c r="G100" s="92">
        <f>IFERROR(IF(OR(NOT(ISNUMBER(Data!$B$8)),NOT(ISNUMBER(Data!G28)),NOT(ISNUMBER(Data!G22))),"-",(Data!$B$8*Data!G28+Data!G36+Data!G42)/Data!G22),"-")</f>
        <v/>
      </c>
      <c r="H100" s="92">
        <f>IFERROR(IF(OR(NOT(ISNUMBER(Data!$B$8)),NOT(ISNUMBER(Data!H28)),NOT(ISNUMBER(Data!H22))),"-",(Data!$B$8*Data!H28+Data!H36+Data!H42)/Data!H22),"-")</f>
        <v/>
      </c>
      <c r="I100" s="92">
        <f>IFERROR(IF(OR(NOT(ISNUMBER(Data!$B$8)),NOT(ISNUMBER(Data!I28)),NOT(ISNUMBER(Data!I22))),"-",(Data!$B$8*Data!I28+Data!I36+Data!I42)/Data!I22),"-")</f>
        <v/>
      </c>
      <c r="J100" s="92">
        <f>IFERROR(IF(OR(NOT(ISNUMBER(Data!$B$8)),NOT(ISNUMBER(Data!J28)),NOT(ISNUMBER(Data!J22))),"-",(Data!$B$8*Data!J28+Data!J36+Data!J42)/Data!J22),"-")</f>
        <v/>
      </c>
      <c r="K100" s="92">
        <f>IFERROR(IF(OR(NOT(ISNUMBER(Data!$B$8)),NOT(ISNUMBER(Data!K28)),NOT(ISNUMBER(Data!K22))),"-",(Data!$B$8*Data!K28+Data!K36+Data!K42)/Data!K22),"-")</f>
        <v/>
      </c>
      <c r="L100" s="92">
        <f>IFERROR(IF(OR(NOT(ISNUMBER(Data!$B$8)),NOT(ISNUMBER(Data!L28)),NOT(ISNUMBER(Data!L22))),"-",(Data!$B$8*Data!L28+Data!L36+Data!L42)/Data!L22),"-")</f>
        <v/>
      </c>
      <c r="M100" s="261" t="n"/>
      <c r="N100" s="245" t="n"/>
      <c r="O100" s="245" t="n"/>
      <c r="P100" s="245" t="n"/>
      <c r="Q100" s="245">
        <f>IFERROR(IF(OR(NOT(ISNUMBER(Data!$B$8)),NOT(ISNUMBER(Data!Q28)),NOT(ISNUMBER(Data!N22)),NOT(ISNUMBER(Data!O22)),NOT(ISNUMBER(Data!P22)),NOT(ISNUMBER(Data!Q22))),"-",(Data!$B$8*Data!Q28+Data!Q36+Data!Q42)/(Data!N22+Data!O22+Data!P22+Data!Q22)),"-")</f>
        <v/>
      </c>
      <c r="R100" s="245">
        <f>IFERROR(IF(OR(NOT(ISNUMBER(Data!$B$8)),NOT(ISNUMBER(Data!R28)),NOT(ISNUMBER(Data!O22)),NOT(ISNUMBER(Data!P22)),NOT(ISNUMBER(Data!Q22)),NOT(ISNUMBER(Data!R22))),"-",(Data!$B$8*Data!R28+Data!R36+Data!R42)/(Data!O22+Data!P22+Data!Q22+Data!R22)),"-")</f>
        <v/>
      </c>
      <c r="S100" s="245">
        <f>IFERROR(IF(OR(NOT(ISNUMBER(Data!$B$8)),NOT(ISNUMBER(Data!S28)),NOT(ISNUMBER(Data!P22)),NOT(ISNUMBER(Data!Q22)),NOT(ISNUMBER(Data!R22)),NOT(ISNUMBER(Data!S22))),"-",(Data!$B$8*Data!S28+Data!S36+Data!S42)/(Data!P22+Data!Q22+Data!R22+Data!S22)),"-")</f>
        <v/>
      </c>
      <c r="T100" s="245">
        <f>IFERROR(IF(OR(NOT(ISNUMBER(Data!$B$8)),NOT(ISNUMBER(Data!T28)),NOT(ISNUMBER(Data!Q22)),NOT(ISNUMBER(Data!R22)),NOT(ISNUMBER(Data!S22)),NOT(ISNUMBER(Data!T22))),"-",(Data!$B$8*Data!T28+Data!T36+Data!T42)/(Data!Q22+Data!R22+Data!S22+Data!T22)),"-")</f>
        <v/>
      </c>
      <c r="U100" s="245">
        <f>IFERROR(IF(OR(NOT(ISNUMBER(Data!$B$8)),NOT(ISNUMBER(Data!U28)),NOT(ISNUMBER(Data!R22)),NOT(ISNUMBER(Data!S22)),NOT(ISNUMBER(Data!T22)),NOT(ISNUMBER(Data!U22))),"-",(Data!$B$8*Data!U28+Data!U36+Data!U42)/(Data!R22+Data!S22+Data!T22+Data!U22)),"-")</f>
        <v/>
      </c>
      <c r="V100" s="258">
        <f>IFERROR(IF(OR(NOT(ISNUMBER(Data!$B$8)),NOT(ISNUMBER(Data!V28)),NOT(ISNUMBER(Data!S22)),NOT(ISNUMBER(Data!T22)),NOT(ISNUMBER(Data!U22)),NOT(ISNUMBER(Data!V22))),"-",(Data!$B$8*Data!V28+Data!V36+Data!V42)/(Data!S22+Data!T22+Data!U22+Data!V22)),"-")</f>
        <v/>
      </c>
      <c r="W100" s="258">
        <f>IFERROR(IF(OR(NOT(ISNUMBER(Data!$B$8)),NOT(ISNUMBER(Data!W28)),NOT(ISNUMBER(Data!T22)),NOT(ISNUMBER(Data!U22)),NOT(ISNUMBER(Data!V22)),NOT(ISNUMBER(Data!W22))),"-",(Data!$B$8*Data!W28+Data!W36+Data!W42)/(Data!T22+Data!U22+Data!V22+Data!W22)),"-")</f>
        <v/>
      </c>
      <c r="X100" s="258">
        <f>IFERROR(IF(OR(NOT(ISNUMBER(Data!$B$8)),NOT(ISNUMBER(Data!X28)),NOT(ISNUMBER(Data!U22)),NOT(ISNUMBER(Data!V22)),NOT(ISNUMBER(Data!W22)),NOT(ISNUMBER(Data!X22))),"-",(Data!$B$8*Data!X28+Data!X36+Data!X42)/(Data!U22+Data!V22+Data!W22+Data!X22)),"-")</f>
        <v/>
      </c>
      <c r="Y100" s="258">
        <f>IFERROR(IF(OR(NOT(ISNUMBER(Data!$B$8)),NOT(ISNUMBER(Data!Y28)),NOT(ISNUMBER(Data!V22)),NOT(ISNUMBER(Data!W22)),NOT(ISNUMBER(Data!X22)),NOT(ISNUMBER(Data!Y22))),"-",(Data!$B$8*Data!Y28+Data!Y36+Data!Y42)/(Data!V22+Data!W22+Data!X22+Data!Y22)),"-")</f>
        <v/>
      </c>
    </row>
    <row r="101" ht="15" customHeight="1" s="74">
      <c r="A101" s="17" t="inlineStr">
        <is>
          <t>FCF Yield</t>
        </is>
      </c>
      <c r="B101" s="90">
        <f>IFERROR(Data!B53/(Data!B8*Data!B28),"-")</f>
        <v/>
      </c>
      <c r="C101" s="90">
        <f>IFERROR(IF(OR(NOT(ISNUMBER(Metrics!C31)),NOT(ISNUMBER(Data!$B$8))),"-",Metrics!C31/Data!$B$8),"-")</f>
        <v/>
      </c>
      <c r="D101" s="90">
        <f>IFERROR(IF(OR(NOT(ISNUMBER(Metrics!D31)),NOT(ISNUMBER(Data!$B$8))),"-",Metrics!D31/Data!$B$8),"-")</f>
        <v/>
      </c>
      <c r="E101" s="90">
        <f>IFERROR(IF(OR(NOT(ISNUMBER(Metrics!E31)),NOT(ISNUMBER(Data!$B$8))),"-",Metrics!E31/Data!$B$8),"-")</f>
        <v/>
      </c>
      <c r="F101" s="90">
        <f>IFERROR(IF(OR(NOT(ISNUMBER(Metrics!F31)),NOT(ISNUMBER(Data!$B$8))),"-",Metrics!F31/Data!$B$8),"-")</f>
        <v/>
      </c>
      <c r="G101" s="90">
        <f>IFERROR(IF(OR(NOT(ISNUMBER(Metrics!G31)),NOT(ISNUMBER(Data!$B$8))),"-",Metrics!G31/Data!$B$8),"-")</f>
        <v/>
      </c>
      <c r="H101" s="90">
        <f>IFERROR(IF(OR(NOT(ISNUMBER(Metrics!H31)),NOT(ISNUMBER(Data!$B$8))),"-",Metrics!H31/Data!$B$8),"-")</f>
        <v/>
      </c>
      <c r="I101" s="90">
        <f>IFERROR(IF(OR(NOT(ISNUMBER(Metrics!I31)),NOT(ISNUMBER(Data!$B$8))),"-",Metrics!I31/Data!$B$8),"-")</f>
        <v/>
      </c>
      <c r="J101" s="90">
        <f>IFERROR(IF(OR(NOT(ISNUMBER(Metrics!J31)),NOT(ISNUMBER(Data!$B$8))),"-",Metrics!J31/Data!$B$8),"-")</f>
        <v/>
      </c>
      <c r="K101" s="90">
        <f>IFERROR(IF(OR(NOT(ISNUMBER(Metrics!K31)),NOT(ISNUMBER(Data!$B$8))),"-",Metrics!K31/Data!$B$8),"-")</f>
        <v/>
      </c>
      <c r="L101" s="90">
        <f>IFERROR(IF(OR(NOT(ISNUMBER(Metrics!L31)),NOT(ISNUMBER(Data!$B$8))),"-",Metrics!L31/Data!$B$8),"-")</f>
        <v/>
      </c>
      <c r="M101" s="261" t="n"/>
      <c r="N101" s="249" t="n"/>
      <c r="O101" s="249" t="n"/>
      <c r="P101" s="249" t="n"/>
      <c r="Q101" s="249">
        <f>IFERROR(IF(OR(NOT(ISNUMBER(Data!N53)),NOT(ISNUMBER(Data!O53)),NOT(ISNUMBER(Data!P53)),NOT(ISNUMBER(Data!Q53)),NOT(ISNUMBER(Data!Q28)),NOT(ISNUMBER(Data!$B$8))),"-",((Data!N53+Data!O53+Data!P53+Data!Q53)/Data!Q28)/Data!$B$8),"-")</f>
        <v/>
      </c>
      <c r="R101" s="249">
        <f>IFERROR(IF(OR(NOT(ISNUMBER(Data!O53)),NOT(ISNUMBER(Data!P53)),NOT(ISNUMBER(Data!Q53)),NOT(ISNUMBER(Data!R53)),NOT(ISNUMBER(Data!R28)),NOT(ISNUMBER(Data!$B$8))),"-",((Data!O53+Data!P53+Data!Q53+Data!R53)/Data!R28)/Data!$B$8),"-")</f>
        <v/>
      </c>
      <c r="S101" s="249">
        <f>IFERROR(IF(OR(NOT(ISNUMBER(Data!P53)),NOT(ISNUMBER(Data!Q53)),NOT(ISNUMBER(Data!R53)),NOT(ISNUMBER(Data!S53)),NOT(ISNUMBER(Data!S28)),NOT(ISNUMBER(Data!$B$8))),"-",((Data!P53+Data!Q53+Data!R53+Data!S53)/Data!S28)/Data!$B$8),"-")</f>
        <v/>
      </c>
      <c r="T101" s="249">
        <f>IFERROR(IF(OR(NOT(ISNUMBER(Data!Q53)),NOT(ISNUMBER(Data!R53)),NOT(ISNUMBER(Data!S53)),NOT(ISNUMBER(Data!T53)),NOT(ISNUMBER(Data!T28)),NOT(ISNUMBER(Data!$B$8))),"-",((Data!Q53+Data!R53+Data!S53+Data!T53)/Data!T28)/Data!$B$8),"-")</f>
        <v/>
      </c>
      <c r="U101" s="249">
        <f>IFERROR(IF(OR(NOT(ISNUMBER(Data!R53)),NOT(ISNUMBER(Data!S53)),NOT(ISNUMBER(Data!T53)),NOT(ISNUMBER(Data!U53)),NOT(ISNUMBER(Data!U28)),NOT(ISNUMBER(Data!$B$8))),"-",((Data!R53+Data!S53+Data!T53+Data!U53)/Data!U28)/Data!$B$8),"-")</f>
        <v/>
      </c>
      <c r="V101" s="256">
        <f>IFERROR(IF(OR(NOT(ISNUMBER(Data!S53)),NOT(ISNUMBER(Data!T53)),NOT(ISNUMBER(Data!U53)),NOT(ISNUMBER(Data!V53)),NOT(ISNUMBER(Data!V28)),NOT(ISNUMBER(Data!$B$8))),"-",((Data!S53+Data!T53+Data!U53+Data!V53)/Data!V28)/Data!$B$8),"-")</f>
        <v/>
      </c>
      <c r="W101" s="256">
        <f>IFERROR(IF(OR(NOT(ISNUMBER(Data!T53)),NOT(ISNUMBER(Data!U53)),NOT(ISNUMBER(Data!V53)),NOT(ISNUMBER(Data!W53)),NOT(ISNUMBER(Data!W28)),NOT(ISNUMBER(Data!$B$8))),"-",((Data!T53+Data!U53+Data!V53+Data!W53)/Data!W28)/Data!$B$8),"-")</f>
        <v/>
      </c>
      <c r="X101" s="461">
        <f>IFERROR(IF(OR(NOT(ISNUMBER(Data!U53)),NOT(ISNUMBER(Data!V53)),NOT(ISNUMBER(Data!W53)),NOT(ISNUMBER(Data!X53)),NOT(ISNUMBER(Data!X28)),NOT(ISNUMBER(Data!$B$8))),"-",((Data!U53+Data!V53+Data!W53+Data!X53)/Data!X28)/Data!$B$8),"-")</f>
        <v/>
      </c>
      <c r="Y101" s="461">
        <f>IFERROR(IF(OR(NOT(ISNUMBER(Data!V53)),NOT(ISNUMBER(Data!W53)),NOT(ISNUMBER(Data!X53)),NOT(ISNUMBER(Data!Y53)),NOT(ISNUMBER(Data!Y28)),NOT(ISNUMBER(Data!$B$8))),"-",((Data!V53+Data!W53+Data!X53+Data!Y53)/Data!Y28)/Data!$B$8),"-")</f>
        <v/>
      </c>
    </row>
    <row r="102" ht="15" customHeight="1" s="74">
      <c r="A102" s="15" t="inlineStr">
        <is>
          <t>Earnings Yield</t>
        </is>
      </c>
      <c r="B102" s="89">
        <f>IFERROR(Data!B26/(Data!B8*Data!B28),"-")</f>
        <v/>
      </c>
      <c r="C102" s="89">
        <f>IFERROR(IF(OR(NOT(ISNUMBER(Data!C27)),NOT(ISNUMBER(Data!$B$8))),"-",Data!C27/Data!$B$8),"-")</f>
        <v/>
      </c>
      <c r="D102" s="89">
        <f>IFERROR(IF(OR(NOT(ISNUMBER(Data!D27)),NOT(ISNUMBER(Data!$B$8))),"-",Data!D27/Data!$B$8),"-")</f>
        <v/>
      </c>
      <c r="E102" s="89">
        <f>IFERROR(IF(OR(NOT(ISNUMBER(Data!E27)),NOT(ISNUMBER(Data!$B$8))),"-",Data!E27/Data!$B$8),"-")</f>
        <v/>
      </c>
      <c r="F102" s="89">
        <f>IFERROR(IF(OR(NOT(ISNUMBER(Data!F27)),NOT(ISNUMBER(Data!$B$8))),"-",Data!F27/Data!$B$8),"-")</f>
        <v/>
      </c>
      <c r="G102" s="89">
        <f>IFERROR(IF(OR(NOT(ISNUMBER(Data!G27)),NOT(ISNUMBER(Data!$B$8))),"-",Data!G27/Data!$B$8),"-")</f>
        <v/>
      </c>
      <c r="H102" s="89">
        <f>IFERROR(IF(OR(NOT(ISNUMBER(Data!H27)),NOT(ISNUMBER(Data!$B$8))),"-",Data!H27/Data!$B$8),"-")</f>
        <v/>
      </c>
      <c r="I102" s="89">
        <f>IFERROR(IF(OR(NOT(ISNUMBER(Data!I27)),NOT(ISNUMBER(Data!$B$8))),"-",Data!I27/Data!$B$8),"-")</f>
        <v/>
      </c>
      <c r="J102" s="89">
        <f>IFERROR(IF(OR(NOT(ISNUMBER(Data!J27)),NOT(ISNUMBER(Data!$B$8))),"-",Data!J27/Data!$B$8),"-")</f>
        <v/>
      </c>
      <c r="K102" s="89">
        <f>IFERROR(IF(OR(NOT(ISNUMBER(Data!K27)),NOT(ISNUMBER(Data!$B$8))),"-",Data!K27/Data!$B$8),"-")</f>
        <v/>
      </c>
      <c r="L102" s="89">
        <f>IFERROR(IF(OR(NOT(ISNUMBER(Data!L27)),NOT(ISNUMBER(Data!$B$8))),"-",Data!L27/Data!$B$8),"-")</f>
        <v/>
      </c>
      <c r="M102" s="261" t="n"/>
      <c r="N102" s="250" t="n"/>
      <c r="O102" s="250" t="n"/>
      <c r="P102" s="250" t="n"/>
      <c r="Q102" s="250">
        <f>IFERROR(IF(OR(NOT(ISNUMBER(Data!N27)),NOT(ISNUMBER(Data!O27)),NOT(ISNUMBER(Data!P27)),NOT(ISNUMBER(Data!Q27)),NOT(ISNUMBER(Data!$B$8))),"-",(Data!N27+Data!O27+Data!P27+Data!Q27)/Data!$B$8),"-")</f>
        <v/>
      </c>
      <c r="R102" s="250">
        <f>IFERROR(IF(OR(NOT(ISNUMBER(Data!O27)),NOT(ISNUMBER(Data!P27)),NOT(ISNUMBER(Data!Q27)),NOT(ISNUMBER(Data!R27)),NOT(ISNUMBER(Data!$B$8))),"-",(Data!O27+Data!P27+Data!Q27+Data!R27)/Data!$B$8),"-")</f>
        <v/>
      </c>
      <c r="S102" s="250">
        <f>IFERROR(IF(OR(NOT(ISNUMBER(Data!P27)),NOT(ISNUMBER(Data!Q27)),NOT(ISNUMBER(Data!R27)),NOT(ISNUMBER(Data!S27)),NOT(ISNUMBER(Data!$B$8))),"-",(Data!P27+Data!Q27+Data!R27+Data!S27)/Data!$B$8),"-")</f>
        <v/>
      </c>
      <c r="T102" s="250">
        <f>IFERROR(IF(OR(NOT(ISNUMBER(Data!Q27)),NOT(ISNUMBER(Data!R27)),NOT(ISNUMBER(Data!S27)),NOT(ISNUMBER(Data!T27)),NOT(ISNUMBER(Data!$B$8))),"-",(Data!Q27+Data!R27+Data!S27+Data!T27)/Data!$B$8),"-")</f>
        <v/>
      </c>
      <c r="U102" s="250">
        <f>IFERROR(IF(OR(NOT(ISNUMBER(Data!R27)),NOT(ISNUMBER(Data!S27)),NOT(ISNUMBER(Data!T27)),NOT(ISNUMBER(Data!U27)),NOT(ISNUMBER(Data!$B$8))),"-",(Data!R27+Data!S27+Data!T27+Data!U27)/Data!$B$8),"-")</f>
        <v/>
      </c>
      <c r="V102" s="258">
        <f>IFERROR(IF(OR(NOT(ISNUMBER(Data!S27)),NOT(ISNUMBER(Data!T27)),NOT(ISNUMBER(Data!U27)),NOT(ISNUMBER(Data!V27)),NOT(ISNUMBER(Data!$B$8))),"-",(Data!S27+Data!T27+Data!U27+Data!V27)/Data!$B$8),"-")</f>
        <v/>
      </c>
      <c r="W102" s="258">
        <f>IFERROR(IF(OR(NOT(ISNUMBER(Data!T27)),NOT(ISNUMBER(Data!U27)),NOT(ISNUMBER(Data!V27)),NOT(ISNUMBER(Data!W27)),NOT(ISNUMBER(Data!$B$8))),"-",(Data!T27+Data!U27+Data!V27+Data!W27)/Data!$B$8),"-")</f>
        <v/>
      </c>
      <c r="X102" s="461">
        <f>IFERROR(IF(OR(NOT(ISNUMBER(Data!U27)),NOT(ISNUMBER(Data!V27)),NOT(ISNUMBER(Data!W27)),NOT(ISNUMBER(Data!X27)),NOT(ISNUMBER(Data!$B$8))),"-",(Data!U27+Data!V27+Data!W27+Data!X27)/Data!$B$8),"-")</f>
        <v/>
      </c>
      <c r="Y102" s="461">
        <f>IFERROR(IF(OR(NOT(ISNUMBER(Data!V27)),NOT(ISNUMBER(Data!W27)),NOT(ISNUMBER(Data!X27)),NOT(ISNUMBER(Data!Y27)),NOT(ISNUMBER(Data!$B$8))),"-",(Data!V27+Data!W27+Data!X27+Data!Y27)/Data!$B$8),"-")</f>
        <v/>
      </c>
    </row>
    <row r="103" ht="15" customHeight="1" s="74">
      <c r="A103" s="17" t="inlineStr">
        <is>
          <t>PEG Ratio (3Y / 5Y / 10Y EPS CAGR)</t>
        </is>
      </c>
      <c r="B103" s="2">
        <f>IFERROR(L95/(B156*100),"-")</f>
        <v/>
      </c>
      <c r="C103" s="2">
        <f>IFERROR(L95/(C156*100),"-")</f>
        <v/>
      </c>
      <c r="D103" s="2">
        <f>IFERROR(L95/(D156*100),"-")</f>
        <v/>
      </c>
      <c r="E103" s="2" t="n"/>
      <c r="F103" s="2" t="n"/>
      <c r="G103" s="2" t="n"/>
      <c r="H103" s="2" t="n"/>
      <c r="I103" s="2" t="n"/>
      <c r="J103" s="2" t="n"/>
      <c r="K103" s="2" t="n"/>
      <c r="L103" s="2" t="n"/>
      <c r="M103" s="261" t="n"/>
      <c r="N103" s="224" t="n"/>
      <c r="O103" s="224" t="n"/>
      <c r="P103" s="224" t="n"/>
      <c r="Q103" s="224" t="n"/>
      <c r="R103" s="224" t="n"/>
      <c r="S103" s="224" t="n"/>
      <c r="T103" s="224" t="n"/>
      <c r="U103" s="224" t="n"/>
      <c r="V103" s="224" t="n"/>
      <c r="W103" s="224" t="n"/>
      <c r="X103" s="463" t="n"/>
      <c r="Y103" s="463" t="n"/>
    </row>
    <row r="104" ht="15" customHeight="1" s="74">
      <c r="A104" s="10" t="n"/>
      <c r="B104" s="10" t="n"/>
      <c r="C104" s="10" t="n"/>
      <c r="D104" s="10" t="n"/>
      <c r="E104" s="10" t="n"/>
      <c r="F104" s="10" t="n"/>
      <c r="G104" s="10" t="n"/>
      <c r="H104" s="10" t="n"/>
      <c r="I104" s="10" t="n"/>
      <c r="J104" s="10" t="n"/>
      <c r="K104" s="10" t="n"/>
      <c r="L104" s="10" t="n"/>
      <c r="N104" s="10" t="n"/>
      <c r="O104" s="10" t="n"/>
      <c r="P104" s="10" t="n"/>
      <c r="Q104" s="10" t="n"/>
      <c r="R104" s="10" t="n"/>
      <c r="S104" s="10" t="n"/>
      <c r="T104" s="10" t="n"/>
      <c r="U104" s="10" t="n"/>
    </row>
    <row r="105" ht="19" customHeight="1" s="74">
      <c r="A105" s="226" t="inlineStr">
        <is>
          <t>ALTMAN Z-SCORE</t>
        </is>
      </c>
    </row>
    <row r="106" ht="28" customHeight="1" s="74">
      <c r="A106" s="14" t="inlineStr">
        <is>
          <t>Period</t>
        </is>
      </c>
      <c r="B106" s="14">
        <f>Data!B13</f>
        <v/>
      </c>
      <c r="C106" s="14">
        <f>Data!C13</f>
        <v/>
      </c>
      <c r="D106" s="14">
        <f>Data!D13</f>
        <v/>
      </c>
      <c r="E106" s="14">
        <f>Data!E13</f>
        <v/>
      </c>
      <c r="F106" s="14">
        <f>Data!F13</f>
        <v/>
      </c>
      <c r="G106" s="14">
        <f>Data!G13</f>
        <v/>
      </c>
      <c r="H106" s="14">
        <f>Data!H13</f>
        <v/>
      </c>
      <c r="I106" s="14">
        <f>Data!I13</f>
        <v/>
      </c>
      <c r="J106" s="14">
        <f>Data!J13</f>
        <v/>
      </c>
      <c r="K106" s="14">
        <f>Data!K13</f>
        <v/>
      </c>
      <c r="L106" s="14">
        <f>Data!L13</f>
        <v/>
      </c>
      <c r="N106" s="267" t="inlineStr">
        <is>
          <t>Year -2
Q1</t>
        </is>
      </c>
      <c r="O106" s="267" t="inlineStr">
        <is>
          <t>Year -2
Q2</t>
        </is>
      </c>
      <c r="P106" s="267" t="inlineStr">
        <is>
          <t>Year -2
Q3</t>
        </is>
      </c>
      <c r="Q106" s="267" t="inlineStr">
        <is>
          <t>Year -2
Q4</t>
        </is>
      </c>
      <c r="R106" s="267" t="inlineStr">
        <is>
          <t>Year -1
Q1</t>
        </is>
      </c>
      <c r="S106" s="267" t="inlineStr">
        <is>
          <t>Year -1
Q2</t>
        </is>
      </c>
      <c r="T106" s="267" t="inlineStr">
        <is>
          <t>Year -1
Q3</t>
        </is>
      </c>
      <c r="U106" s="267" t="inlineStr">
        <is>
          <t>Year -1
Q4</t>
        </is>
      </c>
      <c r="V106" s="267" t="inlineStr">
        <is>
          <t>Current Year
Q1</t>
        </is>
      </c>
      <c r="W106" s="267" t="inlineStr">
        <is>
          <t>Current Year
Q2</t>
        </is>
      </c>
      <c r="X106" s="267" t="inlineStr">
        <is>
          <t>Current Year
Q3</t>
        </is>
      </c>
      <c r="Y106" s="267" t="inlineStr">
        <is>
          <t>Current Year
Q4</t>
        </is>
      </c>
    </row>
    <row r="107" ht="15" customHeight="1" s="74">
      <c r="A107" s="17" t="inlineStr">
        <is>
          <t>X1: Working Capital / TA</t>
        </is>
      </c>
      <c r="B107" s="93" t="n"/>
      <c r="C107" s="93">
        <f>IFERROR(IF(OR(NOT(ISNUMBER(Data!C37)),NOT(ISNUMBER(Data!C38)),NOT(ISNUMBER(Data!C39))),"-",(Data!C37-Data!C38)/Data!C39),"-")</f>
        <v/>
      </c>
      <c r="D107" s="93">
        <f>IFERROR(IF(OR(NOT(ISNUMBER(Data!D37)),NOT(ISNUMBER(Data!D38)),NOT(ISNUMBER(Data!D39))),"-",(Data!D37-Data!D38)/Data!D39),"-")</f>
        <v/>
      </c>
      <c r="E107" s="93">
        <f>IFERROR(IF(OR(NOT(ISNUMBER(Data!E37)),NOT(ISNUMBER(Data!E38)),NOT(ISNUMBER(Data!E39))),"-",(Data!E37-Data!E38)/Data!E39),"-")</f>
        <v/>
      </c>
      <c r="F107" s="93">
        <f>IFERROR(IF(OR(NOT(ISNUMBER(Data!F37)),NOT(ISNUMBER(Data!F38)),NOT(ISNUMBER(Data!F39))),"-",(Data!F37-Data!F38)/Data!F39),"-")</f>
        <v/>
      </c>
      <c r="G107" s="93">
        <f>IFERROR(IF(OR(NOT(ISNUMBER(Data!G37)),NOT(ISNUMBER(Data!G38)),NOT(ISNUMBER(Data!G39))),"-",(Data!G37-Data!G38)/Data!G39),"-")</f>
        <v/>
      </c>
      <c r="H107" s="93">
        <f>IFERROR(IF(OR(NOT(ISNUMBER(Data!H37)),NOT(ISNUMBER(Data!H38)),NOT(ISNUMBER(Data!H39))),"-",(Data!H37-Data!H38)/Data!H39),"-")</f>
        <v/>
      </c>
      <c r="I107" s="93">
        <f>IFERROR(IF(OR(NOT(ISNUMBER(Data!I37)),NOT(ISNUMBER(Data!I38)),NOT(ISNUMBER(Data!I39))),"-",(Data!I37-Data!I38)/Data!I39),"-")</f>
        <v/>
      </c>
      <c r="J107" s="93">
        <f>IFERROR(IF(OR(NOT(ISNUMBER(Data!J37)),NOT(ISNUMBER(Data!J38)),NOT(ISNUMBER(Data!J39))),"-",(Data!J37-Data!J38)/Data!J39),"-")</f>
        <v/>
      </c>
      <c r="K107" s="93">
        <f>IFERROR(IF(OR(NOT(ISNUMBER(Data!K37)),NOT(ISNUMBER(Data!K38)),NOT(ISNUMBER(Data!K39))),"-",(Data!K37-Data!K38)/Data!K39),"-")</f>
        <v/>
      </c>
      <c r="L107" s="93">
        <f>IFERROR(IF(OR(NOT(ISNUMBER(Data!L37)),NOT(ISNUMBER(Data!L38)),NOT(ISNUMBER(Data!L39))),"-",(Data!L37-Data!L38)/Data!L39),"-")</f>
        <v/>
      </c>
      <c r="M107" s="261" t="n"/>
      <c r="N107" s="244" t="n"/>
      <c r="O107" s="244" t="n"/>
      <c r="P107" s="244" t="n"/>
      <c r="Q107" s="244">
        <f>IFERROR(IF(OR(NOT(ISNUMBER(Data!Q37)),NOT(ISNUMBER(Data!Q38)),NOT(ISNUMBER(Data!Q39))),"-",(Data!Q37-Data!Q38)/Data!Q39),"-")</f>
        <v/>
      </c>
      <c r="R107" s="244">
        <f>IFERROR(IF(OR(NOT(ISNUMBER(Data!R37)),NOT(ISNUMBER(Data!R38)),NOT(ISNUMBER(Data!R39))),"-",(Data!R37-Data!R38)/Data!R39),"-")</f>
        <v/>
      </c>
      <c r="S107" s="244">
        <f>IFERROR(IF(OR(NOT(ISNUMBER(Data!S37)),NOT(ISNUMBER(Data!S38)),NOT(ISNUMBER(Data!S39))),"-",(Data!S37-Data!S38)/Data!S39),"-")</f>
        <v/>
      </c>
      <c r="T107" s="244">
        <f>IFERROR(IF(OR(NOT(ISNUMBER(Data!T37)),NOT(ISNUMBER(Data!T38)),NOT(ISNUMBER(Data!T39))),"-",(Data!T37-Data!T38)/Data!T39),"-")</f>
        <v/>
      </c>
      <c r="U107" s="244">
        <f>IFERROR(IF(OR(NOT(ISNUMBER(Data!U37)),NOT(ISNUMBER(Data!U38)),NOT(ISNUMBER(Data!U39))),"-",(Data!U37-Data!U38)/Data!U39),"-")</f>
        <v/>
      </c>
      <c r="V107" s="256">
        <f>IFERROR(IF(OR(NOT(ISNUMBER(Data!V37)),NOT(ISNUMBER(Data!V38)),NOT(ISNUMBER(Data!V39))),"-",(Data!V37-Data!V38)/Data!V39),"-")</f>
        <v/>
      </c>
      <c r="W107" s="256">
        <f>IFERROR(IF(OR(NOT(ISNUMBER(Data!W37)),NOT(ISNUMBER(Data!W38)),NOT(ISNUMBER(Data!W39))),"-",(Data!W37-Data!W38)/Data!W39),"-")</f>
        <v/>
      </c>
      <c r="X107" s="461">
        <f>IFERROR(IF(OR(NOT(ISNUMBER(Data!X37)),NOT(ISNUMBER(Data!X38)),NOT(ISNUMBER(Data!X39))),"-",(Data!X37-Data!X38)/Data!X39),"-")</f>
        <v/>
      </c>
      <c r="Y107" s="461">
        <f>IFERROR(IF(OR(NOT(ISNUMBER(Data!Y37)),NOT(ISNUMBER(Data!Y38)),NOT(ISNUMBER(Data!Y39))),"-",(Data!Y37-Data!Y38)/Data!Y39),"-")</f>
        <v/>
      </c>
    </row>
    <row r="108" ht="15" customHeight="1" s="74">
      <c r="A108" s="15" t="inlineStr">
        <is>
          <t>X2: Retained Earnings / TA</t>
        </is>
      </c>
      <c r="B108" s="83" t="n"/>
      <c r="C108" s="83">
        <f>IFERROR(IF(OR(NOT(ISNUMBER(Data!C48)),NOT(ISNUMBER(Data!C39))),"-",Data!C48/Data!C39),"-")</f>
        <v/>
      </c>
      <c r="D108" s="83">
        <f>IFERROR(IF(OR(NOT(ISNUMBER(Data!D48)),NOT(ISNUMBER(Data!D39))),"-",Data!D48/Data!D39),"-")</f>
        <v/>
      </c>
      <c r="E108" s="83">
        <f>IFERROR(IF(OR(NOT(ISNUMBER(Data!E48)),NOT(ISNUMBER(Data!E39))),"-",Data!E48/Data!E39),"-")</f>
        <v/>
      </c>
      <c r="F108" s="83">
        <f>IFERROR(IF(OR(NOT(ISNUMBER(Data!F48)),NOT(ISNUMBER(Data!F39))),"-",Data!F48/Data!F39),"-")</f>
        <v/>
      </c>
      <c r="G108" s="83">
        <f>IFERROR(IF(OR(NOT(ISNUMBER(Data!G48)),NOT(ISNUMBER(Data!G39))),"-",Data!G48/Data!G39),"-")</f>
        <v/>
      </c>
      <c r="H108" s="83">
        <f>IFERROR(IF(OR(NOT(ISNUMBER(Data!H48)),NOT(ISNUMBER(Data!H39))),"-",Data!H48/Data!H39),"-")</f>
        <v/>
      </c>
      <c r="I108" s="83">
        <f>IFERROR(IF(OR(NOT(ISNUMBER(Data!I48)),NOT(ISNUMBER(Data!I39))),"-",Data!I48/Data!I39),"-")</f>
        <v/>
      </c>
      <c r="J108" s="83">
        <f>IFERROR(IF(OR(NOT(ISNUMBER(Data!J48)),NOT(ISNUMBER(Data!J39))),"-",Data!J48/Data!J39),"-")</f>
        <v/>
      </c>
      <c r="K108" s="83">
        <f>IFERROR(IF(OR(NOT(ISNUMBER(Data!K48)),NOT(ISNUMBER(Data!K39))),"-",Data!K48/Data!K39),"-")</f>
        <v/>
      </c>
      <c r="L108" s="83">
        <f>IFERROR(IF(OR(NOT(ISNUMBER(Data!L48)),NOT(ISNUMBER(Data!L39))),"-",Data!L48/Data!L39),"-")</f>
        <v/>
      </c>
      <c r="M108" s="261" t="n"/>
      <c r="N108" s="245" t="n"/>
      <c r="O108" s="245" t="n"/>
      <c r="P108" s="245" t="n"/>
      <c r="Q108" s="245">
        <f>IFERROR(IF(OR(NOT(ISNUMBER(Data!Q48)),NOT(ISNUMBER(Data!Q39))),"-",Data!Q48/Data!Q39),"-")</f>
        <v/>
      </c>
      <c r="R108" s="245">
        <f>IFERROR(IF(OR(NOT(ISNUMBER(Data!R48)),NOT(ISNUMBER(Data!R39))),"-",Data!R48/Data!R39),"-")</f>
        <v/>
      </c>
      <c r="S108" s="245">
        <f>IFERROR(IF(OR(NOT(ISNUMBER(Data!S48)),NOT(ISNUMBER(Data!S39))),"-",Data!S48/Data!S39),"-")</f>
        <v/>
      </c>
      <c r="T108" s="245">
        <f>IFERROR(IF(OR(NOT(ISNUMBER(Data!T48)),NOT(ISNUMBER(Data!T39))),"-",Data!T48/Data!T39),"-")</f>
        <v/>
      </c>
      <c r="U108" s="245">
        <f>IFERROR(IF(OR(NOT(ISNUMBER(Data!U48)),NOT(ISNUMBER(Data!U39))),"-",Data!U48/Data!U39),"-")</f>
        <v/>
      </c>
      <c r="V108" s="258">
        <f>IFERROR(IF(OR(NOT(ISNUMBER(Data!V48)),NOT(ISNUMBER(Data!V39))),"-",Data!V48/Data!V39),"-")</f>
        <v/>
      </c>
      <c r="W108" s="258">
        <f>IFERROR(IF(OR(NOT(ISNUMBER(Data!W48)),NOT(ISNUMBER(Data!W39))),"-",Data!W48/Data!W39),"-")</f>
        <v/>
      </c>
      <c r="X108" s="461">
        <f>IFERROR(IF(OR(NOT(ISNUMBER(Data!X48)),NOT(ISNUMBER(Data!X39))),"-",Data!X48/Data!X39),"-")</f>
        <v/>
      </c>
      <c r="Y108" s="461">
        <f>IFERROR(IF(OR(NOT(ISNUMBER(Data!Y48)),NOT(ISNUMBER(Data!Y39))),"-",Data!Y48/Data!Y39),"-")</f>
        <v/>
      </c>
    </row>
    <row r="109" ht="15" customHeight="1" s="74">
      <c r="A109" s="17" t="inlineStr">
        <is>
          <t>X3: EBIT / TA (GAAP)</t>
        </is>
      </c>
      <c r="B109" s="93" t="n"/>
      <c r="C109" s="93">
        <f>IFERROR(IF(OR(NOT(ISNUMBER(Data!C22)),NOT(ISNUMBER(Data!C39))),"-",Data!C22/Data!C39),"-")</f>
        <v/>
      </c>
      <c r="D109" s="93">
        <f>IFERROR(IF(OR(NOT(ISNUMBER(Data!D22)),NOT(ISNUMBER(Data!D39))),"-",Data!D22/Data!D39),"-")</f>
        <v/>
      </c>
      <c r="E109" s="93">
        <f>IFERROR(IF(OR(NOT(ISNUMBER(Data!E22)),NOT(ISNUMBER(Data!E39))),"-",Data!E22/Data!E39),"-")</f>
        <v/>
      </c>
      <c r="F109" s="93">
        <f>IFERROR(IF(OR(NOT(ISNUMBER(Data!F22)),NOT(ISNUMBER(Data!F39))),"-",Data!F22/Data!F39),"-")</f>
        <v/>
      </c>
      <c r="G109" s="93">
        <f>IFERROR(IF(OR(NOT(ISNUMBER(Data!G22)),NOT(ISNUMBER(Data!G39))),"-",Data!G22/Data!G39),"-")</f>
        <v/>
      </c>
      <c r="H109" s="93">
        <f>IFERROR(IF(OR(NOT(ISNUMBER(Data!H22)),NOT(ISNUMBER(Data!H39))),"-",Data!H22/Data!H39),"-")</f>
        <v/>
      </c>
      <c r="I109" s="93">
        <f>IFERROR(IF(OR(NOT(ISNUMBER(Data!I22)),NOT(ISNUMBER(Data!I39))),"-",Data!I22/Data!I39),"-")</f>
        <v/>
      </c>
      <c r="J109" s="93">
        <f>IFERROR(IF(OR(NOT(ISNUMBER(Data!J22)),NOT(ISNUMBER(Data!J39))),"-",Data!J22/Data!J39),"-")</f>
        <v/>
      </c>
      <c r="K109" s="93">
        <f>IFERROR(IF(OR(NOT(ISNUMBER(Data!K22)),NOT(ISNUMBER(Data!K39))),"-",Data!K22/Data!K39),"-")</f>
        <v/>
      </c>
      <c r="L109" s="93">
        <f>IFERROR(IF(OR(NOT(ISNUMBER(Data!L22)),NOT(ISNUMBER(Data!L39))),"-",Data!L22/Data!L39),"-")</f>
        <v/>
      </c>
      <c r="M109" s="261" t="n"/>
      <c r="N109" s="244" t="n"/>
      <c r="O109" s="244" t="n"/>
      <c r="P109" s="244" t="n"/>
      <c r="Q109" s="244">
        <f>IFERROR(IF(OR(NOT(ISNUMBER(Data!N22)),NOT(ISNUMBER(Data!O22)),NOT(ISNUMBER(Data!P22)),NOT(ISNUMBER(Data!Q22)),NOT(ISNUMBER(Data!Q39))),"-",(Data!N22+Data!O22+Data!P22+Data!Q22)/Data!Q39),"-")</f>
        <v/>
      </c>
      <c r="R109" s="244">
        <f>IFERROR(IF(OR(NOT(ISNUMBER(Data!O22)),NOT(ISNUMBER(Data!P22)),NOT(ISNUMBER(Data!Q22)),NOT(ISNUMBER(Data!R22)),NOT(ISNUMBER(Data!R39))),"-",(Data!O22+Data!P22+Data!Q22+Data!R22)/Data!R39),"-")</f>
        <v/>
      </c>
      <c r="S109" s="244">
        <f>IFERROR(IF(OR(NOT(ISNUMBER(Data!P22)),NOT(ISNUMBER(Data!Q22)),NOT(ISNUMBER(Data!R22)),NOT(ISNUMBER(Data!S22)),NOT(ISNUMBER(Data!S39))),"-",(Data!P22+Data!Q22+Data!R22+Data!S22)/Data!S39),"-")</f>
        <v/>
      </c>
      <c r="T109" s="244">
        <f>IFERROR(IF(OR(NOT(ISNUMBER(Data!Q22)),NOT(ISNUMBER(Data!R22)),NOT(ISNUMBER(Data!S22)),NOT(ISNUMBER(Data!T22)),NOT(ISNUMBER(Data!T39))),"-",(Data!Q22+Data!R22+Data!S22+Data!T22)/Data!T39),"-")</f>
        <v/>
      </c>
      <c r="U109" s="244">
        <f>IFERROR(IF(OR(NOT(ISNUMBER(Data!R22)),NOT(ISNUMBER(Data!S22)),NOT(ISNUMBER(Data!T22)),NOT(ISNUMBER(Data!U22)),NOT(ISNUMBER(Data!U39))),"-",(Data!R22+Data!S22+Data!T22+Data!U22)/Data!U39),"-")</f>
        <v/>
      </c>
      <c r="V109" s="256">
        <f>IFERROR(IF(OR(NOT(ISNUMBER(Data!S22)),NOT(ISNUMBER(Data!T22)),NOT(ISNUMBER(Data!U22)),NOT(ISNUMBER(Data!V22)),NOT(ISNUMBER(Data!V39))),"-",(Data!S22+Data!T22+Data!U22+Data!V22)/Data!V39),"-")</f>
        <v/>
      </c>
      <c r="W109" s="256">
        <f>IFERROR(IF(OR(NOT(ISNUMBER(Data!T22)),NOT(ISNUMBER(Data!U22)),NOT(ISNUMBER(Data!V22)),NOT(ISNUMBER(Data!W22)),NOT(ISNUMBER(Data!W39))),"-",(Data!T22+Data!U22+Data!V22+Data!W22)/Data!W39),"-")</f>
        <v/>
      </c>
      <c r="X109" s="256">
        <f>IFERROR(IF(OR(NOT(ISNUMBER(Data!U22)),NOT(ISNUMBER(Data!V22)),NOT(ISNUMBER(Data!W22)),NOT(ISNUMBER(Data!X22)),NOT(ISNUMBER(Data!X39))),"-",(Data!U22+Data!V22+Data!W22+Data!X22)/Data!X39),"-")</f>
        <v/>
      </c>
      <c r="Y109" s="256">
        <f>IFERROR(IF(OR(NOT(ISNUMBER(Data!V22)),NOT(ISNUMBER(Data!W22)),NOT(ISNUMBER(Data!X22)),NOT(ISNUMBER(Data!Y22)),NOT(ISNUMBER(Data!Y39))),"-",(Data!V22+Data!W22+Data!X22+Data!Y22)/Data!Y39),"-")</f>
        <v/>
      </c>
    </row>
    <row r="110" ht="15" customHeight="1" s="74">
      <c r="A110" s="15" t="inlineStr">
        <is>
          <t>X4: Equity / TL (book proxy)</t>
        </is>
      </c>
      <c r="B110" s="83" t="n"/>
      <c r="C110" s="83">
        <f>IFERROR(IF(OR(NOT(ISNUMBER(Data!C41)),NOT(ISNUMBER(Data!C40))),"-",Data!C41/Data!C40),"-")</f>
        <v/>
      </c>
      <c r="D110" s="83">
        <f>IFERROR(IF(OR(NOT(ISNUMBER(Data!D41)),NOT(ISNUMBER(Data!D40))),"-",Data!D41/Data!D40),"-")</f>
        <v/>
      </c>
      <c r="E110" s="83">
        <f>IFERROR(IF(OR(NOT(ISNUMBER(Data!E41)),NOT(ISNUMBER(Data!E40))),"-",Data!E41/Data!E40),"-")</f>
        <v/>
      </c>
      <c r="F110" s="83">
        <f>IFERROR(IF(OR(NOT(ISNUMBER(Data!F41)),NOT(ISNUMBER(Data!F40))),"-",Data!F41/Data!F40),"-")</f>
        <v/>
      </c>
      <c r="G110" s="83">
        <f>IFERROR(IF(OR(NOT(ISNUMBER(Data!G41)),NOT(ISNUMBER(Data!G40))),"-",Data!G41/Data!G40),"-")</f>
        <v/>
      </c>
      <c r="H110" s="83">
        <f>IFERROR(IF(OR(NOT(ISNUMBER(Data!H41)),NOT(ISNUMBER(Data!H40))),"-",Data!H41/Data!H40),"-")</f>
        <v/>
      </c>
      <c r="I110" s="83">
        <f>IFERROR(IF(OR(NOT(ISNUMBER(Data!I41)),NOT(ISNUMBER(Data!I40))),"-",Data!I41/Data!I40),"-")</f>
        <v/>
      </c>
      <c r="J110" s="83">
        <f>IFERROR(IF(OR(NOT(ISNUMBER(Data!J41)),NOT(ISNUMBER(Data!J40))),"-",Data!J41/Data!J40),"-")</f>
        <v/>
      </c>
      <c r="K110" s="83">
        <f>IFERROR(IF(OR(NOT(ISNUMBER(Data!K41)),NOT(ISNUMBER(Data!K40))),"-",Data!K41/Data!K40),"-")</f>
        <v/>
      </c>
      <c r="L110" s="83">
        <f>IFERROR(IF(OR(NOT(ISNUMBER(Data!L41)),NOT(ISNUMBER(Data!L40))),"-",Data!L41/Data!L40),"-")</f>
        <v/>
      </c>
      <c r="M110" s="261" t="n"/>
      <c r="N110" s="245" t="n"/>
      <c r="O110" s="245" t="n"/>
      <c r="P110" s="245" t="n"/>
      <c r="Q110" s="245">
        <f>IFERROR(IF(OR(NOT(ISNUMBER(Data!Q41)),NOT(ISNUMBER(Data!Q40))),"-",Data!Q41/Data!Q40),"-")</f>
        <v/>
      </c>
      <c r="R110" s="245">
        <f>IFERROR(IF(OR(NOT(ISNUMBER(Data!R41)),NOT(ISNUMBER(Data!R40))),"-",Data!R41/Data!R40),"-")</f>
        <v/>
      </c>
      <c r="S110" s="245">
        <f>IFERROR(IF(OR(NOT(ISNUMBER(Data!S41)),NOT(ISNUMBER(Data!S40))),"-",Data!S41/Data!S40),"-")</f>
        <v/>
      </c>
      <c r="T110" s="245">
        <f>IFERROR(IF(OR(NOT(ISNUMBER(Data!T41)),NOT(ISNUMBER(Data!T40))),"-",Data!T41/Data!T40),"-")</f>
        <v/>
      </c>
      <c r="U110" s="245">
        <f>IFERROR(IF(OR(NOT(ISNUMBER(Data!U41)),NOT(ISNUMBER(Data!U40))),"-",Data!U41/Data!U40),"-")</f>
        <v/>
      </c>
      <c r="V110" s="258">
        <f>IFERROR(IF(OR(NOT(ISNUMBER(Data!V41)),NOT(ISNUMBER(Data!V40))),"-",Data!V41/Data!V40),"-")</f>
        <v/>
      </c>
      <c r="W110" s="258">
        <f>IFERROR(IF(OR(NOT(ISNUMBER(Data!W41)),NOT(ISNUMBER(Data!W40))),"-",Data!W41/Data!W40),"-")</f>
        <v/>
      </c>
      <c r="X110" s="461">
        <f>IFERROR(IF(OR(NOT(ISNUMBER(Data!X41)),NOT(ISNUMBER(Data!X40))),"-",Data!X41/Data!X40),"-")</f>
        <v/>
      </c>
      <c r="Y110" s="461">
        <f>IFERROR(IF(OR(NOT(ISNUMBER(Data!Y41)),NOT(ISNUMBER(Data!Y40))),"-",Data!Y41/Data!Y40),"-")</f>
        <v/>
      </c>
    </row>
    <row r="111" ht="15" customHeight="1" s="74">
      <c r="A111" s="17" t="inlineStr">
        <is>
          <t>X5: Revenue / TA</t>
        </is>
      </c>
      <c r="B111" s="93" t="n"/>
      <c r="C111" s="93">
        <f>IFERROR(IF(OR(NOT(ISNUMBER(Data!C14)),NOT(ISNUMBER(Data!C39))),"-",Data!C14/Data!C39),"-")</f>
        <v/>
      </c>
      <c r="D111" s="93">
        <f>IFERROR(IF(OR(NOT(ISNUMBER(Data!D14)),NOT(ISNUMBER(Data!D39))),"-",Data!D14/Data!D39),"-")</f>
        <v/>
      </c>
      <c r="E111" s="93">
        <f>IFERROR(IF(OR(NOT(ISNUMBER(Data!E14)),NOT(ISNUMBER(Data!E39))),"-",Data!E14/Data!E39),"-")</f>
        <v/>
      </c>
      <c r="F111" s="93">
        <f>IFERROR(IF(OR(NOT(ISNUMBER(Data!F14)),NOT(ISNUMBER(Data!F39))),"-",Data!F14/Data!F39),"-")</f>
        <v/>
      </c>
      <c r="G111" s="93">
        <f>IFERROR(IF(OR(NOT(ISNUMBER(Data!G14)),NOT(ISNUMBER(Data!G39))),"-",Data!G14/Data!G39),"-")</f>
        <v/>
      </c>
      <c r="H111" s="93">
        <f>IFERROR(IF(OR(NOT(ISNUMBER(Data!H14)),NOT(ISNUMBER(Data!H39))),"-",Data!H14/Data!H39),"-")</f>
        <v/>
      </c>
      <c r="I111" s="93">
        <f>IFERROR(IF(OR(NOT(ISNUMBER(Data!I14)),NOT(ISNUMBER(Data!I39))),"-",Data!I14/Data!I39),"-")</f>
        <v/>
      </c>
      <c r="J111" s="93">
        <f>IFERROR(IF(OR(NOT(ISNUMBER(Data!J14)),NOT(ISNUMBER(Data!J39))),"-",Data!J14/Data!J39),"-")</f>
        <v/>
      </c>
      <c r="K111" s="93">
        <f>IFERROR(IF(OR(NOT(ISNUMBER(Data!K14)),NOT(ISNUMBER(Data!K39))),"-",Data!K14/Data!K39),"-")</f>
        <v/>
      </c>
      <c r="L111" s="93">
        <f>IFERROR(IF(OR(NOT(ISNUMBER(Data!L14)),NOT(ISNUMBER(Data!L39))),"-",Data!L14/Data!L39),"-")</f>
        <v/>
      </c>
      <c r="M111" s="261" t="n"/>
      <c r="N111" s="244" t="n"/>
      <c r="O111" s="244" t="n"/>
      <c r="P111" s="244" t="n"/>
      <c r="Q111" s="244">
        <f>IFERROR(IF(OR(NOT(ISNUMBER(Data!N14)),NOT(ISNUMBER(Data!O14)),NOT(ISNUMBER(Data!P14)),NOT(ISNUMBER(Data!Q14)),NOT(ISNUMBER(Data!Q39))),"-",(Data!N14+Data!O14+Data!P14+Data!Q14)/Data!Q39),"-")</f>
        <v/>
      </c>
      <c r="R111" s="244">
        <f>IFERROR(IF(OR(NOT(ISNUMBER(Data!O14)),NOT(ISNUMBER(Data!P14)),NOT(ISNUMBER(Data!Q14)),NOT(ISNUMBER(Data!R14)),NOT(ISNUMBER(Data!R39))),"-",(Data!O14+Data!P14+Data!Q14+Data!R14)/Data!R39),"-")</f>
        <v/>
      </c>
      <c r="S111" s="244">
        <f>IFERROR(IF(OR(NOT(ISNUMBER(Data!P14)),NOT(ISNUMBER(Data!Q14)),NOT(ISNUMBER(Data!R14)),NOT(ISNUMBER(Data!S14)),NOT(ISNUMBER(Data!S39))),"-",(Data!P14+Data!Q14+Data!R14+Data!S14)/Data!S39),"-")</f>
        <v/>
      </c>
      <c r="T111" s="244">
        <f>IFERROR(IF(OR(NOT(ISNUMBER(Data!Q14)),NOT(ISNUMBER(Data!R14)),NOT(ISNUMBER(Data!S14)),NOT(ISNUMBER(Data!T14)),NOT(ISNUMBER(Data!T39))),"-",(Data!Q14+Data!R14+Data!S14+Data!T14)/Data!T39),"-")</f>
        <v/>
      </c>
      <c r="U111" s="244">
        <f>IFERROR(IF(OR(NOT(ISNUMBER(Data!R14)),NOT(ISNUMBER(Data!S14)),NOT(ISNUMBER(Data!T14)),NOT(ISNUMBER(Data!U14)),NOT(ISNUMBER(Data!U39))),"-",(Data!R14+Data!S14+Data!T14+Data!U14)/Data!U39),"-")</f>
        <v/>
      </c>
      <c r="V111" s="256">
        <f>IFERROR(IF(OR(NOT(ISNUMBER(Data!S14)),NOT(ISNUMBER(Data!T14)),NOT(ISNUMBER(Data!U14)),NOT(ISNUMBER(Data!V14)),NOT(ISNUMBER(Data!V39))),"-",(Data!S14+Data!T14+Data!U14+Data!V14)/Data!V39),"-")</f>
        <v/>
      </c>
      <c r="W111" s="256">
        <f>IFERROR(IF(OR(NOT(ISNUMBER(Data!T14)),NOT(ISNUMBER(Data!U14)),NOT(ISNUMBER(Data!V14)),NOT(ISNUMBER(Data!W14)),NOT(ISNUMBER(Data!W39))),"-",(Data!T14+Data!U14+Data!V14+Data!W14)/Data!W39),"-")</f>
        <v/>
      </c>
      <c r="X111" s="461">
        <f>IFERROR(IF(OR(NOT(ISNUMBER(Data!U14)),NOT(ISNUMBER(Data!V14)),NOT(ISNUMBER(Data!W14)),NOT(ISNUMBER(Data!X14)),NOT(ISNUMBER(Data!X39))),"-",(Data!U14+Data!V14+Data!W14+Data!X14)/Data!X39),"-")</f>
        <v/>
      </c>
      <c r="Y111" s="461">
        <f>IFERROR(IF(OR(NOT(ISNUMBER(Data!V14)),NOT(ISNUMBER(Data!W14)),NOT(ISNUMBER(Data!X14)),NOT(ISNUMBER(Data!Y14)),NOT(ISNUMBER(Data!Y39))),"-",(Data!V14+Data!W14+Data!X14+Data!Y14)/Data!Y39),"-")</f>
        <v/>
      </c>
    </row>
    <row r="112" ht="15" customHeight="1" s="74">
      <c r="A112" s="31" t="inlineStr">
        <is>
          <t>Altman Z-Score</t>
        </is>
      </c>
      <c r="B112" s="83" t="n"/>
      <c r="C112" s="83">
        <f>IFERROR(IF(OR(NOT(ISNUMBER(Metrics!C107)),NOT(ISNUMBER(Metrics!C108)),NOT(ISNUMBER(Metrics!C109)),NOT(ISNUMBER(Metrics!C110)),NOT(ISNUMBER(Metrics!C111))),"-",1.2*Metrics!C107+1.4*Metrics!C108+3.3*Metrics!C109+0.6*Metrics!C110+1*Metrics!C111),"-")</f>
        <v/>
      </c>
      <c r="D112" s="83">
        <f>IFERROR(IF(OR(NOT(ISNUMBER(Metrics!D107)),NOT(ISNUMBER(Metrics!D108)),NOT(ISNUMBER(Metrics!D109)),NOT(ISNUMBER(Metrics!D110)),NOT(ISNUMBER(Metrics!D111))),"-",1.2*Metrics!D107+1.4*Metrics!D108+3.3*Metrics!D109+0.6*Metrics!D110+1*Metrics!D111),"-")</f>
        <v/>
      </c>
      <c r="E112" s="83">
        <f>IFERROR(IF(OR(NOT(ISNUMBER(Metrics!E107)),NOT(ISNUMBER(Metrics!E108)),NOT(ISNUMBER(Metrics!E109)),NOT(ISNUMBER(Metrics!E110)),NOT(ISNUMBER(Metrics!E111))),"-",1.2*Metrics!E107+1.4*Metrics!E108+3.3*Metrics!E109+0.6*Metrics!E110+1*Metrics!E111),"-")</f>
        <v/>
      </c>
      <c r="F112" s="83">
        <f>IFERROR(IF(OR(NOT(ISNUMBER(Metrics!F107)),NOT(ISNUMBER(Metrics!F108)),NOT(ISNUMBER(Metrics!F109)),NOT(ISNUMBER(Metrics!F110)),NOT(ISNUMBER(Metrics!F111))),"-",1.2*Metrics!F107+1.4*Metrics!F108+3.3*Metrics!F109+0.6*Metrics!F110+1*Metrics!F111),"-")</f>
        <v/>
      </c>
      <c r="G112" s="83">
        <f>IFERROR(IF(OR(NOT(ISNUMBER(Metrics!G107)),NOT(ISNUMBER(Metrics!G108)),NOT(ISNUMBER(Metrics!G109)),NOT(ISNUMBER(Metrics!G110)),NOT(ISNUMBER(Metrics!G111))),"-",1.2*Metrics!G107+1.4*Metrics!G108+3.3*Metrics!G109+0.6*Metrics!G110+1*Metrics!G111),"-")</f>
        <v/>
      </c>
      <c r="H112" s="83">
        <f>IFERROR(IF(OR(NOT(ISNUMBER(Metrics!H107)),NOT(ISNUMBER(Metrics!H108)),NOT(ISNUMBER(Metrics!H109)),NOT(ISNUMBER(Metrics!H110)),NOT(ISNUMBER(Metrics!H111))),"-",1.2*Metrics!H107+1.4*Metrics!H108+3.3*Metrics!H109+0.6*Metrics!H110+1*Metrics!H111),"-")</f>
        <v/>
      </c>
      <c r="I112" s="83">
        <f>IFERROR(IF(OR(NOT(ISNUMBER(Metrics!I107)),NOT(ISNUMBER(Metrics!I108)),NOT(ISNUMBER(Metrics!I109)),NOT(ISNUMBER(Metrics!I110)),NOT(ISNUMBER(Metrics!I111))),"-",1.2*Metrics!I107+1.4*Metrics!I108+3.3*Metrics!I109+0.6*Metrics!I110+1*Metrics!I111),"-")</f>
        <v/>
      </c>
      <c r="J112" s="83">
        <f>IFERROR(IF(OR(NOT(ISNUMBER(Metrics!J107)),NOT(ISNUMBER(Metrics!J108)),NOT(ISNUMBER(Metrics!J109)),NOT(ISNUMBER(Metrics!J110)),NOT(ISNUMBER(Metrics!J111))),"-",1.2*Metrics!J107+1.4*Metrics!J108+3.3*Metrics!J109+0.6*Metrics!J110+1*Metrics!J111),"-")</f>
        <v/>
      </c>
      <c r="K112" s="83">
        <f>IFERROR(IF(OR(NOT(ISNUMBER(Metrics!K107)),NOT(ISNUMBER(Metrics!K108)),NOT(ISNUMBER(Metrics!K109)),NOT(ISNUMBER(Metrics!K110)),NOT(ISNUMBER(Metrics!K111))),"-",1.2*Metrics!K107+1.4*Metrics!K108+3.3*Metrics!K109+0.6*Metrics!K110+1*Metrics!K111),"-")</f>
        <v/>
      </c>
      <c r="L112" s="83">
        <f>IFERROR(IF(OR(NOT(ISNUMBER(Metrics!L107)),NOT(ISNUMBER(Metrics!L108)),NOT(ISNUMBER(Metrics!L109)),NOT(ISNUMBER(Metrics!L110)),NOT(ISNUMBER(Metrics!L111))),"-",1.2*Metrics!L107+1.4*Metrics!L108+3.3*Metrics!L109+0.6*Metrics!L110+1*Metrics!L111),"-")</f>
        <v/>
      </c>
      <c r="M112" s="261" t="n"/>
      <c r="N112" s="245" t="n"/>
      <c r="O112" s="245" t="n"/>
      <c r="P112" s="245" t="n"/>
      <c r="Q112" s="245">
        <f>IFERROR(IF(OR(NOT(ISNUMBER(Metrics!Q107)),NOT(ISNUMBER(Metrics!Q108)),NOT(ISNUMBER(Metrics!Q109)),NOT(ISNUMBER(Metrics!Q110)),NOT(ISNUMBER(Metrics!Q111))),"-",1.2*Metrics!Q107+1.4*Metrics!Q108+3.3*Metrics!Q109+0.6*Metrics!Q110+1*Metrics!Q111),"-")</f>
        <v/>
      </c>
      <c r="R112" s="245">
        <f>IFERROR(IF(OR(NOT(ISNUMBER(Metrics!R107)),NOT(ISNUMBER(Metrics!R108)),NOT(ISNUMBER(Metrics!R109)),NOT(ISNUMBER(Metrics!R110)),NOT(ISNUMBER(Metrics!R111))),"-",1.2*Metrics!R107+1.4*Metrics!R108+3.3*Metrics!R109+0.6*Metrics!R110+1*Metrics!R111),"-")</f>
        <v/>
      </c>
      <c r="S112" s="245">
        <f>IFERROR(IF(OR(NOT(ISNUMBER(Metrics!S107)),NOT(ISNUMBER(Metrics!S108)),NOT(ISNUMBER(Metrics!S109)),NOT(ISNUMBER(Metrics!S110)),NOT(ISNUMBER(Metrics!S111))),"-",1.2*Metrics!S107+1.4*Metrics!S108+3.3*Metrics!S109+0.6*Metrics!S110+1*Metrics!S111),"-")</f>
        <v/>
      </c>
      <c r="T112" s="245">
        <f>IFERROR(IF(OR(NOT(ISNUMBER(Metrics!T107)),NOT(ISNUMBER(Metrics!T108)),NOT(ISNUMBER(Metrics!T109)),NOT(ISNUMBER(Metrics!T110)),NOT(ISNUMBER(Metrics!T111))),"-",1.2*Metrics!T107+1.4*Metrics!T108+3.3*Metrics!T109+0.6*Metrics!T110+1*Metrics!T111),"-")</f>
        <v/>
      </c>
      <c r="U112" s="245">
        <f>IFERROR(IF(OR(NOT(ISNUMBER(Metrics!U107)),NOT(ISNUMBER(Metrics!U108)),NOT(ISNUMBER(Metrics!U109)),NOT(ISNUMBER(Metrics!U110)),NOT(ISNUMBER(Metrics!U111))),"-",1.2*Metrics!U107+1.4*Metrics!U108+3.3*Metrics!U109+0.6*Metrics!U110+1*Metrics!U111),"-")</f>
        <v/>
      </c>
      <c r="V112" s="258">
        <f>IFERROR(IF(OR(NOT(ISNUMBER(Metrics!V107)),NOT(ISNUMBER(Metrics!V108)),NOT(ISNUMBER(Metrics!V109)),NOT(ISNUMBER(Metrics!V110)),NOT(ISNUMBER(Metrics!V111))),"-",1.2*Metrics!V107+1.4*Metrics!V108+3.3*Metrics!V109+0.6*Metrics!V110+1*Metrics!V111),"-")</f>
        <v/>
      </c>
      <c r="W112" s="258">
        <f>IFERROR(IF(OR(NOT(ISNUMBER(Metrics!W107)),NOT(ISNUMBER(Metrics!W108)),NOT(ISNUMBER(Metrics!W109)),NOT(ISNUMBER(Metrics!W110)),NOT(ISNUMBER(Metrics!W111))),"-",1.2*Metrics!W107+1.4*Metrics!W108+3.3*Metrics!W109+0.6*Metrics!W110+1*Metrics!W111),"-")</f>
        <v/>
      </c>
      <c r="X112" s="461">
        <f>IFERROR(IF(OR(NOT(ISNUMBER(Metrics!X107)),NOT(ISNUMBER(Metrics!X108)),NOT(ISNUMBER(Metrics!X109)),NOT(ISNUMBER(Metrics!X110)),NOT(ISNUMBER(Metrics!X111))),"-",1.2*Metrics!X107+1.4*Metrics!X108+3.3*Metrics!X109+0.6*Metrics!X110+1*Metrics!X111),"-")</f>
        <v/>
      </c>
      <c r="Y112" s="461">
        <f>IFERROR(IF(OR(NOT(ISNUMBER(Metrics!Y107)),NOT(ISNUMBER(Metrics!Y108)),NOT(ISNUMBER(Metrics!Y109)),NOT(ISNUMBER(Metrics!Y110)),NOT(ISNUMBER(Metrics!Y111))),"-",1.2*Metrics!Y107+1.4*Metrics!Y108+3.3*Metrics!Y109+0.6*Metrics!Y110+1*Metrics!Y111),"-")</f>
        <v/>
      </c>
    </row>
    <row r="113" ht="15" customHeight="1" s="74">
      <c r="A113" s="32" t="inlineStr">
        <is>
          <t>Zone (&gt;2.99=Safe, 1.81-2.99=Gray, &lt;1.81=Distress)</t>
        </is>
      </c>
      <c r="B113" s="33">
        <f>IFERROR(IF(B112&gt;2.99,"Safe",IF(B112&gt;1.81,"Gray","Distress")),"-")</f>
        <v/>
      </c>
      <c r="C113" s="33">
        <f>IFERROR(IF(C112&gt;2.99,"Safe",IF(C112&gt;1.81,"Gray","Distress")),"-")</f>
        <v/>
      </c>
      <c r="D113" s="33">
        <f>IFERROR(IF(D112&gt;2.99,"Safe",IF(D112&gt;1.81,"Gray","Distress")),"-")</f>
        <v/>
      </c>
      <c r="E113" s="33">
        <f>IFERROR(IF(E112&gt;2.99,"Safe",IF(E112&gt;1.81,"Gray","Distress")),"-")</f>
        <v/>
      </c>
      <c r="F113" s="33">
        <f>IFERROR(IF(F112&gt;2.99,"Safe",IF(F112&gt;1.81,"Gray","Distress")),"-")</f>
        <v/>
      </c>
      <c r="G113" s="33">
        <f>IFERROR(IF(G112&gt;2.99,"Safe",IF(G112&gt;1.81,"Gray","Distress")),"-")</f>
        <v/>
      </c>
      <c r="H113" s="33">
        <f>IFERROR(IF(H112&gt;2.99,"Safe",IF(H112&gt;1.81,"Gray","Distress")),"-")</f>
        <v/>
      </c>
      <c r="I113" s="33">
        <f>IFERROR(IF(I112&gt;2.99,"Safe",IF(I112&gt;1.81,"Gray","Distress")),"-")</f>
        <v/>
      </c>
      <c r="J113" s="33">
        <f>IFERROR(IF(J112&gt;2.99,"Safe",IF(J112&gt;1.81,"Gray","Distress")),"-")</f>
        <v/>
      </c>
      <c r="K113" s="33">
        <f>IFERROR(IF(K112&gt;2.99,"Safe",IF(K112&gt;1.81,"Gray","Distress")),"-")</f>
        <v/>
      </c>
      <c r="L113" s="33">
        <f>IFERROR(IF(L112&gt;2.99,"Safe",IF(L112&gt;1.81,"Gray","Distress")),"-")</f>
        <v/>
      </c>
      <c r="M113" s="261" t="n"/>
      <c r="N113" s="251" t="n"/>
      <c r="O113" s="251" t="n"/>
      <c r="P113" s="251" t="n"/>
      <c r="Q113" s="251" t="n"/>
      <c r="R113" s="251" t="n"/>
      <c r="S113" s="251" t="n"/>
      <c r="T113" s="251" t="n"/>
      <c r="U113" s="251" t="n"/>
      <c r="V113" s="256" t="n"/>
      <c r="W113" s="256" t="n"/>
      <c r="X113" s="461" t="n"/>
      <c r="Y113" s="461" t="n"/>
    </row>
    <row r="114" ht="15" customHeight="1" s="74">
      <c r="A114" s="10" t="inlineStr">
        <is>
          <t>Z-Score (Mkt Equity X4)</t>
        </is>
      </c>
      <c r="B114" s="10">
        <f>IFERROR(1.2*B107+1.4*B108+3.3*B109+0.6*(Data!B57*Data!B28/Data!B40)+1*B111,"-")</f>
        <v/>
      </c>
      <c r="C114" s="10">
        <f>IFERROR(1.2*C107+1.4*C108+3.3*C109+0.6*(Data!C57*Data!C28/Data!C40)+1*C111,"-")</f>
        <v/>
      </c>
      <c r="D114" s="10">
        <f>IFERROR(1.2*D107+1.4*D108+3.3*D109+0.6*(Data!D57*Data!D28/Data!D40)+1*D111,"-")</f>
        <v/>
      </c>
      <c r="E114" s="10">
        <f>IFERROR(1.2*E107+1.4*E108+3.3*E109+0.6*(Data!E57*Data!E28/Data!E40)+1*E111,"-")</f>
        <v/>
      </c>
      <c r="F114" s="10">
        <f>IFERROR(1.2*F107+1.4*F108+3.3*F109+0.6*(Data!F57*Data!F28/Data!F40)+1*F111,"-")</f>
        <v/>
      </c>
      <c r="G114" s="10">
        <f>IFERROR(1.2*G107+1.4*G108+3.3*G109+0.6*(Data!G57*Data!G28/Data!G40)+1*G111,"-")</f>
        <v/>
      </c>
      <c r="H114" s="10">
        <f>IFERROR(1.2*H107+1.4*H108+3.3*H109+0.6*(Data!H57*Data!H28/Data!H40)+1*H111,"-")</f>
        <v/>
      </c>
      <c r="I114" s="10">
        <f>IFERROR(1.2*I107+1.4*I108+3.3*I109+0.6*(Data!I57*Data!I28/Data!I40)+1*I111,"-")</f>
        <v/>
      </c>
      <c r="J114" s="10">
        <f>IFERROR(1.2*J107+1.4*J108+3.3*J109+0.6*(Data!J57*Data!J28/Data!J40)+1*J111,"-")</f>
        <v/>
      </c>
      <c r="K114" s="10">
        <f>IFERROR(1.2*K107+1.4*K108+3.3*K109+0.6*(Data!K57*Data!K28/Data!K40)+1*K111,"-")</f>
        <v/>
      </c>
      <c r="L114" s="10">
        <f>IFERROR(1.2*L107+1.4*L108+3.3*L109+0.6*(Data!L57*Data!L28/Data!L40)+1*L111,"-")</f>
        <v/>
      </c>
      <c r="M114" s="261" t="n"/>
      <c r="N114" s="225" t="n"/>
      <c r="O114" s="225" t="n"/>
      <c r="P114" s="225" t="n"/>
      <c r="Q114" s="225" t="n"/>
      <c r="R114" s="225" t="n"/>
      <c r="S114" s="225" t="n"/>
      <c r="T114" s="225" t="n"/>
      <c r="U114" s="225" t="n"/>
      <c r="V114" s="225" t="n"/>
      <c r="W114" s="225" t="n"/>
      <c r="X114" s="463" t="n"/>
      <c r="Y114" s="463" t="n"/>
    </row>
    <row r="115" ht="15" customHeight="1" s="74">
      <c r="A115" s="2" t="n"/>
      <c r="B115" s="2" t="n"/>
      <c r="C115" s="2" t="n"/>
      <c r="D115" s="2" t="n"/>
      <c r="E115" s="2" t="n"/>
      <c r="F115" s="2" t="n"/>
      <c r="G115" s="2" t="n"/>
      <c r="H115" s="2" t="n"/>
      <c r="I115" s="2" t="n"/>
      <c r="J115" s="2" t="n"/>
      <c r="K115" s="2" t="n"/>
      <c r="L115" s="2" t="n"/>
      <c r="N115" s="2" t="n"/>
      <c r="O115" s="2" t="n"/>
      <c r="P115" s="2" t="n"/>
      <c r="Q115" s="2" t="n"/>
      <c r="R115" s="2" t="n"/>
      <c r="S115" s="2" t="n"/>
      <c r="T115" s="2" t="n"/>
      <c r="U115" s="2" t="n"/>
    </row>
    <row r="116" ht="19" customHeight="1" s="74">
      <c r="A116" s="226" t="inlineStr">
        <is>
          <t>DUPONT DECOMPOSITION (ROE = Margin × Turnover × Leverage)</t>
        </is>
      </c>
    </row>
    <row r="117" ht="28" customHeight="1" s="74">
      <c r="A117" s="14" t="inlineStr">
        <is>
          <t>Period</t>
        </is>
      </c>
      <c r="B117" s="14">
        <f>Data!B13</f>
        <v/>
      </c>
      <c r="C117" s="14">
        <f>Data!C13</f>
        <v/>
      </c>
      <c r="D117" s="14">
        <f>Data!D13</f>
        <v/>
      </c>
      <c r="E117" s="14">
        <f>Data!E13</f>
        <v/>
      </c>
      <c r="F117" s="14">
        <f>Data!F13</f>
        <v/>
      </c>
      <c r="G117" s="14">
        <f>Data!G13</f>
        <v/>
      </c>
      <c r="H117" s="14">
        <f>Data!H13</f>
        <v/>
      </c>
      <c r="I117" s="14">
        <f>Data!I13</f>
        <v/>
      </c>
      <c r="J117" s="14">
        <f>Data!J13</f>
        <v/>
      </c>
      <c r="K117" s="14">
        <f>Data!K13</f>
        <v/>
      </c>
      <c r="L117" s="14">
        <f>Data!L13</f>
        <v/>
      </c>
      <c r="N117" s="267" t="inlineStr">
        <is>
          <t>Year -2
Q1</t>
        </is>
      </c>
      <c r="O117" s="267" t="inlineStr">
        <is>
          <t>Year -2
Q2</t>
        </is>
      </c>
      <c r="P117" s="267" t="inlineStr">
        <is>
          <t>Year -2
Q3</t>
        </is>
      </c>
      <c r="Q117" s="267" t="inlineStr">
        <is>
          <t>Year -2
Q4</t>
        </is>
      </c>
      <c r="R117" s="267" t="inlineStr">
        <is>
          <t>Year -1
Q1</t>
        </is>
      </c>
      <c r="S117" s="267" t="inlineStr">
        <is>
          <t>Year -1
Q2</t>
        </is>
      </c>
      <c r="T117" s="267" t="inlineStr">
        <is>
          <t>Year -1
Q3</t>
        </is>
      </c>
      <c r="U117" s="267" t="inlineStr">
        <is>
          <t>Year -1
Q4</t>
        </is>
      </c>
      <c r="V117" s="267" t="inlineStr">
        <is>
          <t>Current Year
Q1</t>
        </is>
      </c>
      <c r="W117" s="267" t="inlineStr">
        <is>
          <t>Current Year
Q2</t>
        </is>
      </c>
      <c r="X117" s="267" t="inlineStr">
        <is>
          <t>Current Year
Q3</t>
        </is>
      </c>
      <c r="Y117" s="267" t="inlineStr">
        <is>
          <t>Current Year
Q4</t>
        </is>
      </c>
    </row>
    <row r="118" ht="15" customHeight="1" s="74">
      <c r="A118" s="17" t="inlineStr">
        <is>
          <t>Net Profit Margin (NI/Rev)</t>
        </is>
      </c>
      <c r="B118" s="81" t="n"/>
      <c r="C118" s="81">
        <f>IFERROR(IF(OR(NOT(ISNUMBER(Data!C26)),NOT(ISNUMBER(Data!C14))),"-",Data!C26/Data!C14),"-")</f>
        <v/>
      </c>
      <c r="D118" s="81">
        <f>IFERROR(IF(OR(NOT(ISNUMBER(Data!D26)),NOT(ISNUMBER(Data!D14))),"-",Data!D26/Data!D14),"-")</f>
        <v/>
      </c>
      <c r="E118" s="81">
        <f>IFERROR(IF(OR(NOT(ISNUMBER(Data!E26)),NOT(ISNUMBER(Data!E14))),"-",Data!E26/Data!E14),"-")</f>
        <v/>
      </c>
      <c r="F118" s="81">
        <f>IFERROR(IF(OR(NOT(ISNUMBER(Data!F26)),NOT(ISNUMBER(Data!F14))),"-",Data!F26/Data!F14),"-")</f>
        <v/>
      </c>
      <c r="G118" s="81">
        <f>IFERROR(IF(OR(NOT(ISNUMBER(Data!G26)),NOT(ISNUMBER(Data!G14))),"-",Data!G26/Data!G14),"-")</f>
        <v/>
      </c>
      <c r="H118" s="81">
        <f>IFERROR(IF(OR(NOT(ISNUMBER(Data!H26)),NOT(ISNUMBER(Data!H14))),"-",Data!H26/Data!H14),"-")</f>
        <v/>
      </c>
      <c r="I118" s="81">
        <f>IFERROR(IF(OR(NOT(ISNUMBER(Data!I26)),NOT(ISNUMBER(Data!I14))),"-",Data!I26/Data!I14),"-")</f>
        <v/>
      </c>
      <c r="J118" s="81">
        <f>IFERROR(IF(OR(NOT(ISNUMBER(Data!J26)),NOT(ISNUMBER(Data!J14))),"-",Data!J26/Data!J14),"-")</f>
        <v/>
      </c>
      <c r="K118" s="81">
        <f>IFERROR(IF(OR(NOT(ISNUMBER(Data!K26)),NOT(ISNUMBER(Data!K14))),"-",Data!K26/Data!K14),"-")</f>
        <v/>
      </c>
      <c r="L118" s="81">
        <f>IFERROR(IF(OR(NOT(ISNUMBER(Data!L26)),NOT(ISNUMBER(Data!L14))),"-",Data!L26/Data!L14),"-")</f>
        <v/>
      </c>
      <c r="M118" s="261" t="n"/>
      <c r="N118" s="249" t="n"/>
      <c r="O118" s="249" t="n"/>
      <c r="P118" s="249" t="n"/>
      <c r="Q118" s="249">
        <f>IFERROR(IF(OR(NOT(ISNUMBER(Data!N26)),NOT(ISNUMBER(Data!O26)),NOT(ISNUMBER(Data!P26)),NOT(ISNUMBER(Data!Q26)),NOT(ISNUMBER(Data!N14)),NOT(ISNUMBER(Data!O14)),NOT(ISNUMBER(Data!P14)),NOT(ISNUMBER(Data!Q14))),"-",(Data!N26+Data!O26+Data!P26+Data!Q26)/(Data!N14+Data!O14+Data!P14+Data!Q14)),"-")</f>
        <v/>
      </c>
      <c r="R118" s="249">
        <f>IFERROR(IF(OR(NOT(ISNUMBER(Data!O26)),NOT(ISNUMBER(Data!P26)),NOT(ISNUMBER(Data!Q26)),NOT(ISNUMBER(Data!R26)),NOT(ISNUMBER(Data!O14)),NOT(ISNUMBER(Data!P14)),NOT(ISNUMBER(Data!Q14)),NOT(ISNUMBER(Data!R14))),"-",(Data!O26+Data!P26+Data!Q26+Data!R26)/(Data!O14+Data!P14+Data!Q14+Data!R14)),"-")</f>
        <v/>
      </c>
      <c r="S118" s="249">
        <f>IFERROR(IF(OR(NOT(ISNUMBER(Data!P26)),NOT(ISNUMBER(Data!Q26)),NOT(ISNUMBER(Data!R26)),NOT(ISNUMBER(Data!S26)),NOT(ISNUMBER(Data!P14)),NOT(ISNUMBER(Data!Q14)),NOT(ISNUMBER(Data!R14)),NOT(ISNUMBER(Data!S14))),"-",(Data!P26+Data!Q26+Data!R26+Data!S26)/(Data!P14+Data!Q14+Data!R14+Data!S14)),"-")</f>
        <v/>
      </c>
      <c r="T118" s="249">
        <f>IFERROR(IF(OR(NOT(ISNUMBER(Data!Q26)),NOT(ISNUMBER(Data!R26)),NOT(ISNUMBER(Data!S26)),NOT(ISNUMBER(Data!T26)),NOT(ISNUMBER(Data!Q14)),NOT(ISNUMBER(Data!R14)),NOT(ISNUMBER(Data!S14)),NOT(ISNUMBER(Data!T14))),"-",(Data!Q26+Data!R26+Data!S26+Data!T26)/(Data!Q14+Data!R14+Data!S14+Data!T14)),"-")</f>
        <v/>
      </c>
      <c r="U118" s="249">
        <f>IFERROR(IF(OR(NOT(ISNUMBER(Data!R26)),NOT(ISNUMBER(Data!S26)),NOT(ISNUMBER(Data!T26)),NOT(ISNUMBER(Data!U26)),NOT(ISNUMBER(Data!R14)),NOT(ISNUMBER(Data!S14)),NOT(ISNUMBER(Data!T14)),NOT(ISNUMBER(Data!U14))),"-",(Data!R26+Data!S26+Data!T26+Data!U26)/(Data!R14+Data!S14+Data!T14+Data!U14)),"-")</f>
        <v/>
      </c>
      <c r="V118" s="256">
        <f>IFERROR(IF(OR(NOT(ISNUMBER(Data!S26)),NOT(ISNUMBER(Data!T26)),NOT(ISNUMBER(Data!U26)),NOT(ISNUMBER(Data!V26)),NOT(ISNUMBER(Data!S14)),NOT(ISNUMBER(Data!T14)),NOT(ISNUMBER(Data!U14)),NOT(ISNUMBER(Data!V14))),"-",(Data!S26+Data!T26+Data!U26+Data!V26)/(Data!S14+Data!T14+Data!U14+Data!V14)),"-")</f>
        <v/>
      </c>
      <c r="W118" s="256">
        <f>IFERROR(IF(OR(NOT(ISNUMBER(Data!T26)),NOT(ISNUMBER(Data!U26)),NOT(ISNUMBER(Data!V26)),NOT(ISNUMBER(Data!W26)),NOT(ISNUMBER(Data!T14)),NOT(ISNUMBER(Data!U14)),NOT(ISNUMBER(Data!V14)),NOT(ISNUMBER(Data!W14))),"-",(Data!T26+Data!U26+Data!V26+Data!W26)/(Data!T14+Data!U14+Data!V14+Data!W14)),"-")</f>
        <v/>
      </c>
      <c r="X118" s="461">
        <f>IFERROR(IF(OR(NOT(ISNUMBER(Data!U26)),NOT(ISNUMBER(Data!V26)),NOT(ISNUMBER(Data!W26)),NOT(ISNUMBER(Data!X26)),NOT(ISNUMBER(Data!U14)),NOT(ISNUMBER(Data!V14)),NOT(ISNUMBER(Data!W14)),NOT(ISNUMBER(Data!X14))),"-",(Data!U26+Data!V26+Data!W26+Data!X26)/(Data!U14+Data!V14+Data!W14+Data!X14)),"-")</f>
        <v/>
      </c>
      <c r="Y118" s="461">
        <f>IFERROR(IF(OR(NOT(ISNUMBER(Data!V26)),NOT(ISNUMBER(Data!W26)),NOT(ISNUMBER(Data!X26)),NOT(ISNUMBER(Data!Y26)),NOT(ISNUMBER(Data!V14)),NOT(ISNUMBER(Data!W14)),NOT(ISNUMBER(Data!X14)),NOT(ISNUMBER(Data!Y14))),"-",(Data!V26+Data!W26+Data!X26+Data!Y26)/(Data!V14+Data!W14+Data!X14+Data!Y14)),"-")</f>
        <v/>
      </c>
    </row>
    <row r="119" ht="15" customHeight="1" s="74">
      <c r="A119" s="15" t="inlineStr">
        <is>
          <t>Asset Turnover (Rev/TA)</t>
        </is>
      </c>
      <c r="B119" s="83" t="n"/>
      <c r="C119" s="83">
        <f>IFERROR(IF(OR(NOT(ISNUMBER(Data!C14)),NOT(ISNUMBER(Data!C39))),"-",Data!C14/(IF(OR(NOT(ISNUMBER(Data!B39)),Data!B39=0),Data!C39,(Data!C39+Data!B39)/2))),"-")</f>
        <v/>
      </c>
      <c r="D119" s="83">
        <f>IFERROR(IF(OR(NOT(ISNUMBER(Data!D14)),NOT(ISNUMBER(Data!D39))),"-",Data!D14/(IF(OR(NOT(ISNUMBER(Data!C39)),Data!C39=0),Data!D39,(Data!D39+Data!C39)/2))),"-")</f>
        <v/>
      </c>
      <c r="E119" s="83">
        <f>IFERROR(IF(OR(NOT(ISNUMBER(Data!E14)),NOT(ISNUMBER(Data!E39))),"-",Data!E14/(IF(OR(NOT(ISNUMBER(Data!D39)),Data!D39=0),Data!E39,(Data!E39+Data!D39)/2))),"-")</f>
        <v/>
      </c>
      <c r="F119" s="83">
        <f>IFERROR(IF(OR(NOT(ISNUMBER(Data!F14)),NOT(ISNUMBER(Data!F39))),"-",Data!F14/(IF(OR(NOT(ISNUMBER(Data!E39)),Data!E39=0),Data!F39,(Data!F39+Data!E39)/2))),"-")</f>
        <v/>
      </c>
      <c r="G119" s="83">
        <f>IFERROR(IF(OR(NOT(ISNUMBER(Data!G14)),NOT(ISNUMBER(Data!G39))),"-",Data!G14/(IF(OR(NOT(ISNUMBER(Data!F39)),Data!F39=0),Data!G39,(Data!G39+Data!F39)/2))),"-")</f>
        <v/>
      </c>
      <c r="H119" s="83">
        <f>IFERROR(IF(OR(NOT(ISNUMBER(Data!H14)),NOT(ISNUMBER(Data!H39))),"-",Data!H14/(IF(OR(NOT(ISNUMBER(Data!G39)),Data!G39=0),Data!H39,(Data!H39+Data!G39)/2))),"-")</f>
        <v/>
      </c>
      <c r="I119" s="83">
        <f>IFERROR(IF(OR(NOT(ISNUMBER(Data!I14)),NOT(ISNUMBER(Data!I39))),"-",Data!I14/(IF(OR(NOT(ISNUMBER(Data!H39)),Data!H39=0),Data!I39,(Data!I39+Data!H39)/2))),"-")</f>
        <v/>
      </c>
      <c r="J119" s="83">
        <f>IFERROR(IF(OR(NOT(ISNUMBER(Data!J14)),NOT(ISNUMBER(Data!J39))),"-",Data!J14/(IF(OR(NOT(ISNUMBER(Data!I39)),Data!I39=0),Data!J39,(Data!J39+Data!I39)/2))),"-")</f>
        <v/>
      </c>
      <c r="K119" s="83">
        <f>IFERROR(IF(OR(NOT(ISNUMBER(Data!K14)),NOT(ISNUMBER(Data!K39))),"-",Data!K14/(IF(OR(NOT(ISNUMBER(Data!J39)),Data!J39=0),Data!K39,(Data!K39+Data!J39)/2))),"-")</f>
        <v/>
      </c>
      <c r="L119" s="83">
        <f>IFERROR(IF(OR(NOT(ISNUMBER(Data!L14)),NOT(ISNUMBER(Data!L39))),"-",Data!L14/(IF(OR(NOT(ISNUMBER(Data!K39)),Data!K39=0),Data!L39,(Data!L39+Data!K39)/2))),"-")</f>
        <v/>
      </c>
      <c r="M119" s="261" t="n"/>
      <c r="N119" s="245" t="n"/>
      <c r="O119" s="245" t="n"/>
      <c r="P119" s="245" t="n"/>
      <c r="Q119" s="245">
        <f>IFERROR(IF(OR(NOT(ISNUMBER(Data!N14)),NOT(ISNUMBER(Data!O14)),NOT(ISNUMBER(Data!P14)),NOT(ISNUMBER(Data!Q14)),NOT(ISNUMBER(Data!Q39))),"-",(Data!N14+Data!O14+Data!P14+Data!Q14)/Data!Q39),"-")</f>
        <v/>
      </c>
      <c r="R119" s="245">
        <f>IFERROR(IF(OR(NOT(ISNUMBER(Data!O14)),NOT(ISNUMBER(Data!P14)),NOT(ISNUMBER(Data!Q14)),NOT(ISNUMBER(Data!R14)),NOT(ISNUMBER(Data!R39)),NOT(ISNUMBER(Data!N39))),"-",(Data!O14+Data!P14+Data!Q14+Data!R14)/((Data!R39+Data!N39)/2)),"-")</f>
        <v/>
      </c>
      <c r="S119" s="245">
        <f>IFERROR(IF(OR(NOT(ISNUMBER(Data!P14)),NOT(ISNUMBER(Data!Q14)),NOT(ISNUMBER(Data!R14)),NOT(ISNUMBER(Data!S14)),NOT(ISNUMBER(Data!S39)),NOT(ISNUMBER(Data!O39))),"-",(Data!P14+Data!Q14+Data!R14+Data!S14)/((Data!S39+Data!O39)/2)),"-")</f>
        <v/>
      </c>
      <c r="T119" s="245">
        <f>IFERROR(IF(OR(NOT(ISNUMBER(Data!Q14)),NOT(ISNUMBER(Data!R14)),NOT(ISNUMBER(Data!S14)),NOT(ISNUMBER(Data!T14)),NOT(ISNUMBER(Data!T39)),NOT(ISNUMBER(Data!P39))),"-",(Data!Q14+Data!R14+Data!S14+Data!T14)/((Data!T39+Data!P39)/2)),"-")</f>
        <v/>
      </c>
      <c r="U119" s="245">
        <f>IFERROR(IF(OR(NOT(ISNUMBER(Data!R14)),NOT(ISNUMBER(Data!S14)),NOT(ISNUMBER(Data!T14)),NOT(ISNUMBER(Data!U14)),NOT(ISNUMBER(Data!U39)),NOT(ISNUMBER(Data!Q39))),"-",(Data!R14+Data!S14+Data!T14+Data!U14)/((Data!U39+Data!Q39)/2)),"-")</f>
        <v/>
      </c>
      <c r="V119" s="258">
        <f>IFERROR(IF(OR(NOT(ISNUMBER(Data!S14)),NOT(ISNUMBER(Data!T14)),NOT(ISNUMBER(Data!U14)),NOT(ISNUMBER(Data!V14)),NOT(ISNUMBER(Data!V39)),NOT(ISNUMBER(Data!R39))),"-",(Data!S14+Data!T14+Data!U14+Data!V14)/((Data!V39+Data!R39)/2)),"-")</f>
        <v/>
      </c>
      <c r="W119" s="258">
        <f>IFERROR(IF(OR(NOT(ISNUMBER(Data!T14)),NOT(ISNUMBER(Data!U14)),NOT(ISNUMBER(Data!V14)),NOT(ISNUMBER(Data!W14)),NOT(ISNUMBER(Data!W39)),NOT(ISNUMBER(Data!S39))),"-",(Data!T14+Data!U14+Data!V14+Data!W14)/((Data!W39+Data!S39)/2)),"-")</f>
        <v/>
      </c>
      <c r="X119" s="461">
        <f>IFERROR(IF(OR(NOT(ISNUMBER(Data!U14)),NOT(ISNUMBER(Data!V14)),NOT(ISNUMBER(Data!W14)),NOT(ISNUMBER(Data!X14)),NOT(ISNUMBER(Data!X39)),NOT(ISNUMBER(Data!T39))),"-",(Data!U14+Data!V14+Data!W14+Data!X14)/((Data!X39+Data!T39)/2)),"-")</f>
        <v/>
      </c>
      <c r="Y119" s="461">
        <f>IFERROR(IF(OR(NOT(ISNUMBER(Data!V14)),NOT(ISNUMBER(Data!W14)),NOT(ISNUMBER(Data!X14)),NOT(ISNUMBER(Data!Y14)),NOT(ISNUMBER(Data!Y39)),NOT(ISNUMBER(Data!U39))),"-",(Data!V14+Data!W14+Data!X14+Data!Y14)/((Data!Y39+Data!U39)/2)),"-")</f>
        <v/>
      </c>
    </row>
    <row r="120" ht="15" customHeight="1" s="74">
      <c r="A120" s="17" t="inlineStr">
        <is>
          <t>Equity Multiplier (TA/Eq)</t>
        </is>
      </c>
      <c r="B120" s="93" t="n"/>
      <c r="C120" s="93">
        <f>IFERROR(IF(OR(NOT(ISNUMBER(Data!C39)),NOT(ISNUMBER(Data!C41))),"-",(IF(OR(NOT(ISNUMBER(Data!B39)),Data!B39=0),Data!C39,(Data!C39+Data!B39)/2))/(IF(OR(NOT(ISNUMBER(Data!B41)),Data!B41=0),Data!C41,(Data!C41+Data!B41)/2))),"-")</f>
        <v/>
      </c>
      <c r="D120" s="93">
        <f>IFERROR(IF(OR(NOT(ISNUMBER(Data!D39)),NOT(ISNUMBER(Data!D41))),"-",(IF(OR(NOT(ISNUMBER(Data!C39)),Data!C39=0),Data!D39,(Data!D39+Data!C39)/2))/(IF(OR(NOT(ISNUMBER(Data!C41)),Data!C41=0),Data!D41,(Data!D41+Data!C41)/2))),"-")</f>
        <v/>
      </c>
      <c r="E120" s="93">
        <f>IFERROR(IF(OR(NOT(ISNUMBER(Data!E39)),NOT(ISNUMBER(Data!E41))),"-",(IF(OR(NOT(ISNUMBER(Data!D39)),Data!D39=0),Data!E39,(Data!E39+Data!D39)/2))/(IF(OR(NOT(ISNUMBER(Data!D41)),Data!D41=0),Data!E41,(Data!E41+Data!D41)/2))),"-")</f>
        <v/>
      </c>
      <c r="F120" s="93">
        <f>IFERROR(IF(OR(NOT(ISNUMBER(Data!F39)),NOT(ISNUMBER(Data!F41))),"-",(IF(OR(NOT(ISNUMBER(Data!E39)),Data!E39=0),Data!F39,(Data!F39+Data!E39)/2))/(IF(OR(NOT(ISNUMBER(Data!E41)),Data!E41=0),Data!F41,(Data!F41+Data!E41)/2))),"-")</f>
        <v/>
      </c>
      <c r="G120" s="93">
        <f>IFERROR(IF(OR(NOT(ISNUMBER(Data!G39)),NOT(ISNUMBER(Data!G41))),"-",(IF(OR(NOT(ISNUMBER(Data!F39)),Data!F39=0),Data!G39,(Data!G39+Data!F39)/2))/(IF(OR(NOT(ISNUMBER(Data!F41)),Data!F41=0),Data!G41,(Data!G41+Data!F41)/2))),"-")</f>
        <v/>
      </c>
      <c r="H120" s="93">
        <f>IFERROR(IF(OR(NOT(ISNUMBER(Data!H39)),NOT(ISNUMBER(Data!H41))),"-",(IF(OR(NOT(ISNUMBER(Data!G39)),Data!G39=0),Data!H39,(Data!H39+Data!G39)/2))/(IF(OR(NOT(ISNUMBER(Data!G41)),Data!G41=0),Data!H41,(Data!H41+Data!G41)/2))),"-")</f>
        <v/>
      </c>
      <c r="I120" s="93">
        <f>IFERROR(IF(OR(NOT(ISNUMBER(Data!I39)),NOT(ISNUMBER(Data!I41))),"-",(IF(OR(NOT(ISNUMBER(Data!H39)),Data!H39=0),Data!I39,(Data!I39+Data!H39)/2))/(IF(OR(NOT(ISNUMBER(Data!H41)),Data!H41=0),Data!I41,(Data!I41+Data!H41)/2))),"-")</f>
        <v/>
      </c>
      <c r="J120" s="93">
        <f>IFERROR(IF(OR(NOT(ISNUMBER(Data!J39)),NOT(ISNUMBER(Data!J41))),"-",(IF(OR(NOT(ISNUMBER(Data!I39)),Data!I39=0),Data!J39,(Data!J39+Data!I39)/2))/(IF(OR(NOT(ISNUMBER(Data!I41)),Data!I41=0),Data!J41,(Data!J41+Data!I41)/2))),"-")</f>
        <v/>
      </c>
      <c r="K120" s="93">
        <f>IFERROR(IF(OR(NOT(ISNUMBER(Data!K39)),NOT(ISNUMBER(Data!K41))),"-",(IF(OR(NOT(ISNUMBER(Data!J39)),Data!J39=0),Data!K39,(Data!K39+Data!J39)/2))/(IF(OR(NOT(ISNUMBER(Data!J41)),Data!J41=0),Data!K41,(Data!K41+Data!J41)/2))),"-")</f>
        <v/>
      </c>
      <c r="L120" s="93">
        <f>IFERROR(IF(OR(NOT(ISNUMBER(Data!L39)),NOT(ISNUMBER(Data!L41))),"-",(IF(OR(NOT(ISNUMBER(Data!K39)),Data!K39=0),Data!L39,(Data!L39+Data!K39)/2))/(IF(OR(NOT(ISNUMBER(Data!K41)),Data!K41=0),Data!L41,(Data!L41+Data!K41)/2))),"-")</f>
        <v/>
      </c>
      <c r="M120" s="261" t="n"/>
      <c r="N120" s="244">
        <f>IFERROR(IF(OR(NOT(ISNUMBER(Data!N39)),NOT(ISNUMBER(Data!N41))),"-",Data!N39/Data!N41),"-")</f>
        <v/>
      </c>
      <c r="O120" s="244">
        <f>IFERROR(IF(OR(NOT(ISNUMBER(Data!O39)),NOT(ISNUMBER(Data!O41))),"-",Data!O39/Data!O41),"-")</f>
        <v/>
      </c>
      <c r="P120" s="244">
        <f>IFERROR(IF(OR(NOT(ISNUMBER(Data!P39)),NOT(ISNUMBER(Data!P41))),"-",Data!P39/Data!P41),"-")</f>
        <v/>
      </c>
      <c r="Q120" s="244">
        <f>IFERROR(IF(OR(NOT(ISNUMBER(Data!Q39)),NOT(ISNUMBER(Data!Q41))),"-",Data!Q39/Data!Q41),"-")</f>
        <v/>
      </c>
      <c r="R120" s="244">
        <f>IFERROR(IF(OR(NOT(ISNUMBER(Data!R39)),NOT(ISNUMBER(Data!R41))),"-",Data!R39/Data!R41),"-")</f>
        <v/>
      </c>
      <c r="S120" s="244">
        <f>IFERROR(IF(OR(NOT(ISNUMBER(Data!S39)),NOT(ISNUMBER(Data!S41))),"-",Data!S39/Data!S41),"-")</f>
        <v/>
      </c>
      <c r="T120" s="244">
        <f>IFERROR(IF(OR(NOT(ISNUMBER(Data!T39)),NOT(ISNUMBER(Data!T41))),"-",Data!T39/Data!T41),"-")</f>
        <v/>
      </c>
      <c r="U120" s="244">
        <f>IFERROR(IF(OR(NOT(ISNUMBER(Data!U39)),NOT(ISNUMBER(Data!U41))),"-",Data!U39/Data!U41),"-")</f>
        <v/>
      </c>
      <c r="V120" s="256">
        <f>IFERROR(IF(OR(NOT(ISNUMBER(Data!V39)),NOT(ISNUMBER(Data!V41))),"-",Data!V39/Data!V41),"-")</f>
        <v/>
      </c>
      <c r="W120" s="256">
        <f>IFERROR(IF(OR(NOT(ISNUMBER(Data!W39)),NOT(ISNUMBER(Data!W41))),"-",Data!W39/Data!W41),"-")</f>
        <v/>
      </c>
      <c r="X120" s="461">
        <f>IFERROR(IF(OR(NOT(ISNUMBER(Data!X39)),NOT(ISNUMBER(Data!X41))),"-",Data!X39/Data!X41),"-")</f>
        <v/>
      </c>
      <c r="Y120" s="461">
        <f>IFERROR(IF(OR(NOT(ISNUMBER(Data!Y39)),NOT(ISNUMBER(Data!Y41))),"-",Data!Y39/Data!Y41),"-")</f>
        <v/>
      </c>
    </row>
    <row r="121" ht="15" customHeight="1" s="74">
      <c r="A121" s="31" t="inlineStr">
        <is>
          <t>DuPont ROE (check)</t>
        </is>
      </c>
      <c r="B121" s="84" t="n"/>
      <c r="C121" s="84">
        <f>IFERROR(IF(OR(NOT(ISNUMBER(Metrics!C118)),NOT(ISNUMBER(Metrics!C119)),NOT(ISNUMBER(Metrics!C120))),"-",Metrics!C118*Metrics!C119*Metrics!C120),"-")</f>
        <v/>
      </c>
      <c r="D121" s="84">
        <f>IFERROR(IF(OR(NOT(ISNUMBER(Metrics!D118)),NOT(ISNUMBER(Metrics!D119)),NOT(ISNUMBER(Metrics!D120))),"-",Metrics!D118*Metrics!D119*Metrics!D120),"-")</f>
        <v/>
      </c>
      <c r="E121" s="84">
        <f>IFERROR(IF(OR(NOT(ISNUMBER(Metrics!E118)),NOT(ISNUMBER(Metrics!E119)),NOT(ISNUMBER(Metrics!E120))),"-",Metrics!E118*Metrics!E119*Metrics!E120),"-")</f>
        <v/>
      </c>
      <c r="F121" s="84">
        <f>IFERROR(IF(OR(NOT(ISNUMBER(Metrics!F118)),NOT(ISNUMBER(Metrics!F119)),NOT(ISNUMBER(Metrics!F120))),"-",Metrics!F118*Metrics!F119*Metrics!F120),"-")</f>
        <v/>
      </c>
      <c r="G121" s="84">
        <f>IFERROR(IF(OR(NOT(ISNUMBER(Metrics!G118)),NOT(ISNUMBER(Metrics!G119)),NOT(ISNUMBER(Metrics!G120))),"-",Metrics!G118*Metrics!G119*Metrics!G120),"-")</f>
        <v/>
      </c>
      <c r="H121" s="84">
        <f>IFERROR(IF(OR(NOT(ISNUMBER(Metrics!H118)),NOT(ISNUMBER(Metrics!H119)),NOT(ISNUMBER(Metrics!H120))),"-",Metrics!H118*Metrics!H119*Metrics!H120),"-")</f>
        <v/>
      </c>
      <c r="I121" s="84">
        <f>IFERROR(IF(OR(NOT(ISNUMBER(Metrics!I118)),NOT(ISNUMBER(Metrics!I119)),NOT(ISNUMBER(Metrics!I120))),"-",Metrics!I118*Metrics!I119*Metrics!I120),"-")</f>
        <v/>
      </c>
      <c r="J121" s="84">
        <f>IFERROR(IF(OR(NOT(ISNUMBER(Metrics!J118)),NOT(ISNUMBER(Metrics!J119)),NOT(ISNUMBER(Metrics!J120))),"-",Metrics!J118*Metrics!J119*Metrics!J120),"-")</f>
        <v/>
      </c>
      <c r="K121" s="84">
        <f>IFERROR(IF(OR(NOT(ISNUMBER(Metrics!K118)),NOT(ISNUMBER(Metrics!K119)),NOT(ISNUMBER(Metrics!K120))),"-",Metrics!K118*Metrics!K119*Metrics!K120),"-")</f>
        <v/>
      </c>
      <c r="L121" s="84">
        <f>IFERROR(IF(OR(NOT(ISNUMBER(Metrics!L118)),NOT(ISNUMBER(Metrics!L119)),NOT(ISNUMBER(Metrics!L120))),"-",Metrics!L118*Metrics!L119*Metrics!L120),"-")</f>
        <v/>
      </c>
      <c r="M121" s="261" t="n"/>
      <c r="N121" s="250" t="n"/>
      <c r="O121" s="250" t="n"/>
      <c r="P121" s="250" t="n"/>
      <c r="Q121" s="250" t="n"/>
      <c r="R121" s="250" t="n"/>
      <c r="S121" s="250" t="n"/>
      <c r="T121" s="250" t="n"/>
      <c r="U121" s="250" t="n"/>
      <c r="V121" s="258" t="n"/>
      <c r="W121" s="258" t="n"/>
      <c r="X121" s="461" t="n"/>
      <c r="Y121" s="461" t="n"/>
    </row>
    <row r="122" ht="15" customHeight="1" s="74">
      <c r="A122" s="34" t="inlineStr">
        <is>
          <t>─ 5-Factor DuPont ─</t>
        </is>
      </c>
      <c r="B122" s="8" t="n"/>
      <c r="C122" s="8" t="n"/>
      <c r="D122" s="8" t="n"/>
      <c r="E122" s="8" t="n"/>
      <c r="F122" s="8" t="n"/>
      <c r="G122" s="8" t="n"/>
      <c r="H122" s="8" t="n"/>
      <c r="I122" s="8" t="n"/>
      <c r="J122" s="8" t="n"/>
      <c r="K122" s="8" t="n"/>
      <c r="L122" s="8" t="n"/>
      <c r="N122" s="8" t="n"/>
      <c r="O122" s="8" t="n"/>
      <c r="P122" s="8" t="n"/>
      <c r="Q122" s="8" t="n"/>
      <c r="R122" s="8" t="n"/>
      <c r="S122" s="8" t="n"/>
      <c r="T122" s="8" t="n"/>
      <c r="U122" s="8" t="n"/>
    </row>
    <row r="123" ht="15" customHeight="1" s="74">
      <c r="A123" s="15" t="inlineStr">
        <is>
          <t>Tax Burden (NI / PreTax)</t>
        </is>
      </c>
      <c r="B123" s="83">
        <f>IFERROR(Data!B26/Data!B24,"-")</f>
        <v/>
      </c>
      <c r="C123" s="83">
        <f>IFERROR(IF(OR(NOT(ISNUMBER(Data!C26)),NOT(ISNUMBER(Data!C24))),"-",Data!C26/Data!C24),"-")</f>
        <v/>
      </c>
      <c r="D123" s="83">
        <f>IFERROR(IF(OR(NOT(ISNUMBER(Data!D26)),NOT(ISNUMBER(Data!D24))),"-",Data!D26/Data!D24),"-")</f>
        <v/>
      </c>
      <c r="E123" s="83">
        <f>IFERROR(IF(OR(NOT(ISNUMBER(Data!E26)),NOT(ISNUMBER(Data!E24))),"-",Data!E26/Data!E24),"-")</f>
        <v/>
      </c>
      <c r="F123" s="83">
        <f>IFERROR(IF(OR(NOT(ISNUMBER(Data!F26)),NOT(ISNUMBER(Data!F24))),"-",Data!F26/Data!F24),"-")</f>
        <v/>
      </c>
      <c r="G123" s="83">
        <f>IFERROR(IF(OR(NOT(ISNUMBER(Data!G26)),NOT(ISNUMBER(Data!G24))),"-",Data!G26/Data!G24),"-")</f>
        <v/>
      </c>
      <c r="H123" s="83">
        <f>IFERROR(IF(OR(NOT(ISNUMBER(Data!H26)),NOT(ISNUMBER(Data!H24))),"-",Data!H26/Data!H24),"-")</f>
        <v/>
      </c>
      <c r="I123" s="83">
        <f>IFERROR(IF(OR(NOT(ISNUMBER(Data!I26)),NOT(ISNUMBER(Data!I24))),"-",Data!I26/Data!I24),"-")</f>
        <v/>
      </c>
      <c r="J123" s="83">
        <f>IFERROR(IF(OR(NOT(ISNUMBER(Data!J26)),NOT(ISNUMBER(Data!J24))),"-",Data!J26/Data!J24),"-")</f>
        <v/>
      </c>
      <c r="K123" s="83">
        <f>IFERROR(IF(OR(NOT(ISNUMBER(Data!K26)),NOT(ISNUMBER(Data!K24))),"-",Data!K26/Data!K24),"-")</f>
        <v/>
      </c>
      <c r="L123" s="83">
        <f>IFERROR(IF(OR(NOT(ISNUMBER(Data!L26)),NOT(ISNUMBER(Data!L24))),"-",Data!L26/Data!L24),"-")</f>
        <v/>
      </c>
      <c r="M123" s="261" t="n"/>
      <c r="N123" s="245" t="n"/>
      <c r="O123" s="245" t="n"/>
      <c r="P123" s="245" t="n"/>
      <c r="Q123" s="245">
        <f>IFERROR(IF(OR(NOT(ISNUMBER(Data!N26)),NOT(ISNUMBER(Data!O26)),NOT(ISNUMBER(Data!P26)),NOT(ISNUMBER(Data!Q26)),NOT(ISNUMBER(Data!N24)),NOT(ISNUMBER(Data!O24)),NOT(ISNUMBER(Data!P24)),NOT(ISNUMBER(Data!Q24))),"-",(Data!N26+Data!O26+Data!P26+Data!Q26)/(Data!N24+Data!O24+Data!P24+Data!Q24)),"-")</f>
        <v/>
      </c>
      <c r="R123" s="245">
        <f>IFERROR(IF(OR(NOT(ISNUMBER(Data!O26)),NOT(ISNUMBER(Data!P26)),NOT(ISNUMBER(Data!Q26)),NOT(ISNUMBER(Data!R26)),NOT(ISNUMBER(Data!O24)),NOT(ISNUMBER(Data!P24)),NOT(ISNUMBER(Data!Q24)),NOT(ISNUMBER(Data!R24))),"-",(Data!O26+Data!P26+Data!Q26+Data!R26)/(Data!O24+Data!P24+Data!Q24+Data!R24)),"-")</f>
        <v/>
      </c>
      <c r="S123" s="245">
        <f>IFERROR(IF(OR(NOT(ISNUMBER(Data!P26)),NOT(ISNUMBER(Data!Q26)),NOT(ISNUMBER(Data!R26)),NOT(ISNUMBER(Data!S26)),NOT(ISNUMBER(Data!P24)),NOT(ISNUMBER(Data!Q24)),NOT(ISNUMBER(Data!R24)),NOT(ISNUMBER(Data!S24))),"-",(Data!P26+Data!Q26+Data!R26+Data!S26)/(Data!P24+Data!Q24+Data!R24+Data!S24)),"-")</f>
        <v/>
      </c>
      <c r="T123" s="245">
        <f>IFERROR(IF(OR(NOT(ISNUMBER(Data!Q26)),NOT(ISNUMBER(Data!R26)),NOT(ISNUMBER(Data!S26)),NOT(ISNUMBER(Data!T26)),NOT(ISNUMBER(Data!Q24)),NOT(ISNUMBER(Data!R24)),NOT(ISNUMBER(Data!S24)),NOT(ISNUMBER(Data!T24))),"-",(Data!Q26+Data!R26+Data!S26+Data!T26)/(Data!Q24+Data!R24+Data!S24+Data!T24)),"-")</f>
        <v/>
      </c>
      <c r="U123" s="245">
        <f>IFERROR(IF(OR(NOT(ISNUMBER(Data!R26)),NOT(ISNUMBER(Data!S26)),NOT(ISNUMBER(Data!T26)),NOT(ISNUMBER(Data!U26)),NOT(ISNUMBER(Data!R24)),NOT(ISNUMBER(Data!S24)),NOT(ISNUMBER(Data!T24)),NOT(ISNUMBER(Data!U24))),"-",(Data!R26+Data!S26+Data!T26+Data!U26)/(Data!R24+Data!S24+Data!T24+Data!U24)),"-")</f>
        <v/>
      </c>
      <c r="V123" s="258">
        <f>IFERROR(IF(OR(NOT(ISNUMBER(Data!S26)),NOT(ISNUMBER(Data!T26)),NOT(ISNUMBER(Data!U26)),NOT(ISNUMBER(Data!V26)),NOT(ISNUMBER(Data!S24)),NOT(ISNUMBER(Data!T24)),NOT(ISNUMBER(Data!U24)),NOT(ISNUMBER(Data!V24))),"-",(Data!S26+Data!T26+Data!U26+Data!V26)/(Data!S24+Data!T24+Data!U24+Data!V24)),"-")</f>
        <v/>
      </c>
      <c r="W123" s="258">
        <f>IFERROR(IF(OR(NOT(ISNUMBER(Data!T26)),NOT(ISNUMBER(Data!U26)),NOT(ISNUMBER(Data!V26)),NOT(ISNUMBER(Data!W26)),NOT(ISNUMBER(Data!T24)),NOT(ISNUMBER(Data!U24)),NOT(ISNUMBER(Data!V24)),NOT(ISNUMBER(Data!W24))),"-",(Data!T26+Data!U26+Data!V26+Data!W26)/(Data!T24+Data!U24+Data!V24+Data!W24)),"-")</f>
        <v/>
      </c>
      <c r="X123" s="461">
        <f>IFERROR(IF(OR(NOT(ISNUMBER(Data!U26)),NOT(ISNUMBER(Data!V26)),NOT(ISNUMBER(Data!W26)),NOT(ISNUMBER(Data!X26)),NOT(ISNUMBER(Data!U24)),NOT(ISNUMBER(Data!V24)),NOT(ISNUMBER(Data!W24)),NOT(ISNUMBER(Data!X24))),"-",(Data!U26+Data!V26+Data!W26+Data!X26)/(Data!U24+Data!V24+Data!W24+Data!X24)),"-")</f>
        <v/>
      </c>
      <c r="Y123" s="461">
        <f>IFERROR(IF(OR(NOT(ISNUMBER(Data!V26)),NOT(ISNUMBER(Data!W26)),NOT(ISNUMBER(Data!X26)),NOT(ISNUMBER(Data!Y26)),NOT(ISNUMBER(Data!V24)),NOT(ISNUMBER(Data!W24)),NOT(ISNUMBER(Data!X24)),NOT(ISNUMBER(Data!Y24))),"-",(Data!V26+Data!W26+Data!X26+Data!Y26)/(Data!V24+Data!W24+Data!X24+Data!Y24)),"-")</f>
        <v/>
      </c>
    </row>
    <row r="124" ht="15" customHeight="1" s="74">
      <c r="A124" s="17" t="inlineStr">
        <is>
          <t>Interest Burden (PreTax / EBIT)</t>
        </is>
      </c>
      <c r="B124" s="93">
        <f>IFERROR(Data!B24/Data!B22,"-")</f>
        <v/>
      </c>
      <c r="C124" s="93">
        <f>IFERROR(IF(OR(NOT(ISNUMBER(Data!C24)),NOT(ISNUMBER(Data!C22))),"-",Data!C24/Data!C22),"-")</f>
        <v/>
      </c>
      <c r="D124" s="93">
        <f>IFERROR(IF(OR(NOT(ISNUMBER(Data!D24)),NOT(ISNUMBER(Data!D22))),"-",Data!D24/Data!D22),"-")</f>
        <v/>
      </c>
      <c r="E124" s="93">
        <f>IFERROR(IF(OR(NOT(ISNUMBER(Data!E24)),NOT(ISNUMBER(Data!E22))),"-",Data!E24/Data!E22),"-")</f>
        <v/>
      </c>
      <c r="F124" s="93">
        <f>IFERROR(IF(OR(NOT(ISNUMBER(Data!F24)),NOT(ISNUMBER(Data!F22))),"-",Data!F24/Data!F22),"-")</f>
        <v/>
      </c>
      <c r="G124" s="93">
        <f>IFERROR(IF(OR(NOT(ISNUMBER(Data!G24)),NOT(ISNUMBER(Data!G22))),"-",Data!G24/Data!G22),"-")</f>
        <v/>
      </c>
      <c r="H124" s="93">
        <f>IFERROR(IF(OR(NOT(ISNUMBER(Data!H24)),NOT(ISNUMBER(Data!H22))),"-",Data!H24/Data!H22),"-")</f>
        <v/>
      </c>
      <c r="I124" s="93">
        <f>IFERROR(IF(OR(NOT(ISNUMBER(Data!I24)),NOT(ISNUMBER(Data!I22))),"-",Data!I24/Data!I22),"-")</f>
        <v/>
      </c>
      <c r="J124" s="93">
        <f>IFERROR(IF(OR(NOT(ISNUMBER(Data!J24)),NOT(ISNUMBER(Data!J22))),"-",Data!J24/Data!J22),"-")</f>
        <v/>
      </c>
      <c r="K124" s="93">
        <f>IFERROR(IF(OR(NOT(ISNUMBER(Data!K24)),NOT(ISNUMBER(Data!K22))),"-",Data!K24/Data!K22),"-")</f>
        <v/>
      </c>
      <c r="L124" s="93">
        <f>IFERROR(IF(OR(NOT(ISNUMBER(Data!L24)),NOT(ISNUMBER(Data!L22))),"-",Data!L24/Data!L22),"-")</f>
        <v/>
      </c>
      <c r="M124" s="261" t="n"/>
      <c r="N124" s="244" t="n"/>
      <c r="O124" s="244" t="n"/>
      <c r="P124" s="244" t="n"/>
      <c r="Q124" s="244">
        <f>IFERROR(IF(OR(NOT(ISNUMBER(Data!N24)),NOT(ISNUMBER(Data!O24)),NOT(ISNUMBER(Data!P24)),NOT(ISNUMBER(Data!Q24)),NOT(ISNUMBER(Data!N22)),NOT(ISNUMBER(Data!O22)),NOT(ISNUMBER(Data!P22)),NOT(ISNUMBER(Data!Q22))),"-",(Data!N24+Data!O24+Data!P24+Data!Q24)/(Data!N22+Data!O22+Data!P22+Data!Q22)),"-")</f>
        <v/>
      </c>
      <c r="R124" s="244">
        <f>IFERROR(IF(OR(NOT(ISNUMBER(Data!O24)),NOT(ISNUMBER(Data!P24)),NOT(ISNUMBER(Data!Q24)),NOT(ISNUMBER(Data!R24)),NOT(ISNUMBER(Data!O22)),NOT(ISNUMBER(Data!P22)),NOT(ISNUMBER(Data!Q22)),NOT(ISNUMBER(Data!R22))),"-",(Data!O24+Data!P24+Data!Q24+Data!R24)/(Data!O22+Data!P22+Data!Q22+Data!R22)),"-")</f>
        <v/>
      </c>
      <c r="S124" s="244">
        <f>IFERROR(IF(OR(NOT(ISNUMBER(Data!P24)),NOT(ISNUMBER(Data!Q24)),NOT(ISNUMBER(Data!R24)),NOT(ISNUMBER(Data!S24)),NOT(ISNUMBER(Data!P22)),NOT(ISNUMBER(Data!Q22)),NOT(ISNUMBER(Data!R22)),NOT(ISNUMBER(Data!S22))),"-",(Data!P24+Data!Q24+Data!R24+Data!S24)/(Data!P22+Data!Q22+Data!R22+Data!S22)),"-")</f>
        <v/>
      </c>
      <c r="T124" s="244">
        <f>IFERROR(IF(OR(NOT(ISNUMBER(Data!Q24)),NOT(ISNUMBER(Data!R24)),NOT(ISNUMBER(Data!S24)),NOT(ISNUMBER(Data!T24)),NOT(ISNUMBER(Data!Q22)),NOT(ISNUMBER(Data!R22)),NOT(ISNUMBER(Data!S22)),NOT(ISNUMBER(Data!T22))),"-",(Data!Q24+Data!R24+Data!S24+Data!T24)/(Data!Q22+Data!R22+Data!S22+Data!T22)),"-")</f>
        <v/>
      </c>
      <c r="U124" s="244">
        <f>IFERROR(IF(OR(NOT(ISNUMBER(Data!R24)),NOT(ISNUMBER(Data!S24)),NOT(ISNUMBER(Data!T24)),NOT(ISNUMBER(Data!U24)),NOT(ISNUMBER(Data!R22)),NOT(ISNUMBER(Data!S22)),NOT(ISNUMBER(Data!T22)),NOT(ISNUMBER(Data!U22))),"-",(Data!R24+Data!S24+Data!T24+Data!U24)/(Data!R22+Data!S22+Data!T22+Data!U22)),"-")</f>
        <v/>
      </c>
      <c r="V124" s="256">
        <f>IFERROR(IF(OR(NOT(ISNUMBER(Data!S24)),NOT(ISNUMBER(Data!T24)),NOT(ISNUMBER(Data!U24)),NOT(ISNUMBER(Data!V24)),NOT(ISNUMBER(Data!S22)),NOT(ISNUMBER(Data!T22)),NOT(ISNUMBER(Data!U22)),NOT(ISNUMBER(Data!V22))),"-",(Data!S24+Data!T24+Data!U24+Data!V24)/(Data!S22+Data!T22+Data!U22+Data!V22)),"-")</f>
        <v/>
      </c>
      <c r="W124" s="256">
        <f>IFERROR(IF(OR(NOT(ISNUMBER(Data!T24)),NOT(ISNUMBER(Data!U24)),NOT(ISNUMBER(Data!V24)),NOT(ISNUMBER(Data!W24)),NOT(ISNUMBER(Data!T22)),NOT(ISNUMBER(Data!U22)),NOT(ISNUMBER(Data!V22)),NOT(ISNUMBER(Data!W22))),"-",(Data!T24+Data!U24+Data!V24+Data!W24)/(Data!T22+Data!U22+Data!V22+Data!W22)),"-")</f>
        <v/>
      </c>
      <c r="X124" s="461">
        <f>IFERROR(IF(OR(NOT(ISNUMBER(Data!U24)),NOT(ISNUMBER(Data!V24)),NOT(ISNUMBER(Data!W24)),NOT(ISNUMBER(Data!X24)),NOT(ISNUMBER(Data!U22)),NOT(ISNUMBER(Data!V22)),NOT(ISNUMBER(Data!W22)),NOT(ISNUMBER(Data!X22))),"-",(Data!U24+Data!V24+Data!W24+Data!X24)/(Data!U22+Data!V22+Data!W22+Data!X22)),"-")</f>
        <v/>
      </c>
      <c r="Y124" s="461">
        <f>IFERROR(IF(OR(NOT(ISNUMBER(Data!V24)),NOT(ISNUMBER(Data!W24)),NOT(ISNUMBER(Data!X24)),NOT(ISNUMBER(Data!Y24)),NOT(ISNUMBER(Data!V22)),NOT(ISNUMBER(Data!W22)),NOT(ISNUMBER(Data!X22)),NOT(ISNUMBER(Data!Y22))),"-",(Data!V24+Data!W24+Data!X24+Data!Y24)/(Data!V22+Data!W22+Data!X22+Data!Y22)),"-")</f>
        <v/>
      </c>
    </row>
    <row r="125" ht="15" customHeight="1" s="74">
      <c r="A125" s="15" t="inlineStr">
        <is>
          <t>EBIT Margin (EBIT / Rev)</t>
        </is>
      </c>
      <c r="B125" s="84" t="n"/>
      <c r="C125" s="84">
        <f>IFERROR(IF(OR(NOT(ISNUMBER(Data!C22)),NOT(ISNUMBER(Data!C14))),"-",Data!C22/Data!C14),"-")</f>
        <v/>
      </c>
      <c r="D125" s="84">
        <f>IFERROR(IF(OR(NOT(ISNUMBER(Data!D22)),NOT(ISNUMBER(Data!D14))),"-",Data!D22/Data!D14),"-")</f>
        <v/>
      </c>
      <c r="E125" s="84">
        <f>IFERROR(IF(OR(NOT(ISNUMBER(Data!E22)),NOT(ISNUMBER(Data!E14))),"-",Data!E22/Data!E14),"-")</f>
        <v/>
      </c>
      <c r="F125" s="84">
        <f>IFERROR(IF(OR(NOT(ISNUMBER(Data!F22)),NOT(ISNUMBER(Data!F14))),"-",Data!F22/Data!F14),"-")</f>
        <v/>
      </c>
      <c r="G125" s="84">
        <f>IFERROR(IF(OR(NOT(ISNUMBER(Data!G22)),NOT(ISNUMBER(Data!G14))),"-",Data!G22/Data!G14),"-")</f>
        <v/>
      </c>
      <c r="H125" s="84">
        <f>IFERROR(IF(OR(NOT(ISNUMBER(Data!H22)),NOT(ISNUMBER(Data!H14))),"-",Data!H22/Data!H14),"-")</f>
        <v/>
      </c>
      <c r="I125" s="84">
        <f>IFERROR(IF(OR(NOT(ISNUMBER(Data!I22)),NOT(ISNUMBER(Data!I14))),"-",Data!I22/Data!I14),"-")</f>
        <v/>
      </c>
      <c r="J125" s="84">
        <f>IFERROR(IF(OR(NOT(ISNUMBER(Data!J22)),NOT(ISNUMBER(Data!J14))),"-",Data!J22/Data!J14),"-")</f>
        <v/>
      </c>
      <c r="K125" s="84">
        <f>IFERROR(IF(OR(NOT(ISNUMBER(Data!K22)),NOT(ISNUMBER(Data!K14))),"-",Data!K22/Data!K14),"-")</f>
        <v/>
      </c>
      <c r="L125" s="84">
        <f>IFERROR(IF(OR(NOT(ISNUMBER(Data!L22)),NOT(ISNUMBER(Data!L14))),"-",Data!L22/Data!L14),"-")</f>
        <v/>
      </c>
      <c r="M125" s="261" t="n"/>
      <c r="N125" s="250" t="n"/>
      <c r="O125" s="250" t="n"/>
      <c r="P125" s="250" t="n"/>
      <c r="Q125" s="250">
        <f>IFERROR(IF(OR(NOT(ISNUMBER(Data!N22)),NOT(ISNUMBER(Data!O22)),NOT(ISNUMBER(Data!P22)),NOT(ISNUMBER(Data!Q22)),NOT(ISNUMBER(Data!N14)),NOT(ISNUMBER(Data!O14)),NOT(ISNUMBER(Data!P14)),NOT(ISNUMBER(Data!Q14))),"-",(Data!N22+Data!O22+Data!P22+Data!Q22)/(Data!N14+Data!O14+Data!P14+Data!Q14)),"-")</f>
        <v/>
      </c>
      <c r="R125" s="250">
        <f>IFERROR(IF(OR(NOT(ISNUMBER(Data!O22)),NOT(ISNUMBER(Data!P22)),NOT(ISNUMBER(Data!Q22)),NOT(ISNUMBER(Data!R22)),NOT(ISNUMBER(Data!O14)),NOT(ISNUMBER(Data!P14)),NOT(ISNUMBER(Data!Q14)),NOT(ISNUMBER(Data!R14))),"-",(Data!O22+Data!P22+Data!Q22+Data!R22)/(Data!O14+Data!P14+Data!Q14+Data!R14)),"-")</f>
        <v/>
      </c>
      <c r="S125" s="250">
        <f>IFERROR(IF(OR(NOT(ISNUMBER(Data!P22)),NOT(ISNUMBER(Data!Q22)),NOT(ISNUMBER(Data!R22)),NOT(ISNUMBER(Data!S22)),NOT(ISNUMBER(Data!P14)),NOT(ISNUMBER(Data!Q14)),NOT(ISNUMBER(Data!R14)),NOT(ISNUMBER(Data!S14))),"-",(Data!P22+Data!Q22+Data!R22+Data!S22)/(Data!P14+Data!Q14+Data!R14+Data!S14)),"-")</f>
        <v/>
      </c>
      <c r="T125" s="250">
        <f>IFERROR(IF(OR(NOT(ISNUMBER(Data!Q22)),NOT(ISNUMBER(Data!R22)),NOT(ISNUMBER(Data!S22)),NOT(ISNUMBER(Data!T22)),NOT(ISNUMBER(Data!Q14)),NOT(ISNUMBER(Data!R14)),NOT(ISNUMBER(Data!S14)),NOT(ISNUMBER(Data!T14))),"-",(Data!Q22+Data!R22+Data!S22+Data!T22)/(Data!Q14+Data!R14+Data!S14+Data!T14)),"-")</f>
        <v/>
      </c>
      <c r="U125" s="250">
        <f>IFERROR(IF(OR(NOT(ISNUMBER(Data!R22)),NOT(ISNUMBER(Data!S22)),NOT(ISNUMBER(Data!T22)),NOT(ISNUMBER(Data!U22)),NOT(ISNUMBER(Data!R14)),NOT(ISNUMBER(Data!S14)),NOT(ISNUMBER(Data!T14)),NOT(ISNUMBER(Data!U14))),"-",(Data!R22+Data!S22+Data!T22+Data!U22)/(Data!R14+Data!S14+Data!T14+Data!U14)),"-")</f>
        <v/>
      </c>
      <c r="V125" s="258">
        <f>IFERROR(IF(OR(NOT(ISNUMBER(Data!S22)),NOT(ISNUMBER(Data!T22)),NOT(ISNUMBER(Data!U22)),NOT(ISNUMBER(Data!V22)),NOT(ISNUMBER(Data!S14)),NOT(ISNUMBER(Data!T14)),NOT(ISNUMBER(Data!U14)),NOT(ISNUMBER(Data!V14))),"-",(Data!S22+Data!T22+Data!U22+Data!V22)/(Data!S14+Data!T14+Data!U14+Data!V14)),"-")</f>
        <v/>
      </c>
      <c r="W125" s="258">
        <f>IFERROR(IF(OR(NOT(ISNUMBER(Data!T22)),NOT(ISNUMBER(Data!U22)),NOT(ISNUMBER(Data!V22)),NOT(ISNUMBER(Data!W22)),NOT(ISNUMBER(Data!T14)),NOT(ISNUMBER(Data!U14)),NOT(ISNUMBER(Data!V14)),NOT(ISNUMBER(Data!W14))),"-",(Data!T22+Data!U22+Data!V22+Data!W22)/(Data!T14+Data!U14+Data!V14+Data!W14)),"-")</f>
        <v/>
      </c>
      <c r="X125" s="461">
        <f>IFERROR(IF(OR(NOT(ISNUMBER(Data!U22)),NOT(ISNUMBER(Data!V22)),NOT(ISNUMBER(Data!W22)),NOT(ISNUMBER(Data!X22)),NOT(ISNUMBER(Data!U14)),NOT(ISNUMBER(Data!V14)),NOT(ISNUMBER(Data!W14)),NOT(ISNUMBER(Data!X14))),"-",(Data!U22+Data!V22+Data!W22+Data!X22)/(Data!U14+Data!V14+Data!W14+Data!X14)),"-")</f>
        <v/>
      </c>
      <c r="Y125" s="461">
        <f>IFERROR(IF(OR(NOT(ISNUMBER(Data!V22)),NOT(ISNUMBER(Data!W22)),NOT(ISNUMBER(Data!X22)),NOT(ISNUMBER(Data!Y22)),NOT(ISNUMBER(Data!V14)),NOT(ISNUMBER(Data!W14)),NOT(ISNUMBER(Data!X14)),NOT(ISNUMBER(Data!Y14))),"-",(Data!V22+Data!W22+Data!X22+Data!Y22)/(Data!V14+Data!W14+Data!X14+Data!Y14)),"-")</f>
        <v/>
      </c>
    </row>
    <row r="126" ht="15" customHeight="1" s="74">
      <c r="A126" s="35" t="inlineStr">
        <is>
          <t>5-Factor DuPont ROE (check)</t>
        </is>
      </c>
      <c r="B126" s="81">
        <f>IFERROR(B123*B124*B125*B119*B120,"-")</f>
        <v/>
      </c>
      <c r="C126" s="81">
        <f>IFERROR(C123*C124*C125*C119*C120,"-")</f>
        <v/>
      </c>
      <c r="D126" s="81">
        <f>IFERROR(D123*D124*D125*D119*D120,"-")</f>
        <v/>
      </c>
      <c r="E126" s="81">
        <f>IFERROR(E123*E124*E125*E119*E120,"-")</f>
        <v/>
      </c>
      <c r="F126" s="81">
        <f>IFERROR(F123*F124*F125*F119*F120,"-")</f>
        <v/>
      </c>
      <c r="G126" s="81">
        <f>IFERROR(G123*G124*G125*G119*G120,"-")</f>
        <v/>
      </c>
      <c r="H126" s="81">
        <f>IFERROR(H123*H124*H125*H119*H120,"-")</f>
        <v/>
      </c>
      <c r="I126" s="81">
        <f>IFERROR(I123*I124*I125*I119*I120,"-")</f>
        <v/>
      </c>
      <c r="J126" s="81">
        <f>IFERROR(J123*J124*J125*J119*J120,"-")</f>
        <v/>
      </c>
      <c r="K126" s="81">
        <f>IFERROR(K123*K124*K125*K119*K120,"-")</f>
        <v/>
      </c>
      <c r="L126" s="81">
        <f>IFERROR(L123*L124*L125*L119*L120,"-")</f>
        <v/>
      </c>
      <c r="M126" s="261" t="n"/>
      <c r="N126" s="249" t="n"/>
      <c r="O126" s="249" t="n"/>
      <c r="P126" s="249" t="n"/>
      <c r="Q126" s="249" t="n"/>
      <c r="R126" s="249" t="n"/>
      <c r="S126" s="249" t="n"/>
      <c r="T126" s="249" t="n"/>
      <c r="U126" s="249" t="n"/>
      <c r="V126" s="256" t="n"/>
      <c r="W126" s="256" t="n"/>
      <c r="X126" s="461" t="n"/>
      <c r="Y126" s="461" t="n"/>
    </row>
    <row r="127" ht="15" customHeight="1" s="74">
      <c r="A127" s="10" t="n"/>
      <c r="B127" s="10" t="n"/>
      <c r="C127" s="10" t="n"/>
      <c r="D127" s="10" t="n"/>
      <c r="E127" s="10" t="n"/>
      <c r="F127" s="10" t="n"/>
      <c r="G127" s="10" t="n"/>
      <c r="H127" s="10" t="n"/>
      <c r="I127" s="10" t="n"/>
      <c r="J127" s="10" t="n"/>
      <c r="K127" s="10" t="n"/>
      <c r="L127" s="10" t="n"/>
      <c r="N127" s="10" t="n"/>
      <c r="O127" s="10" t="n"/>
      <c r="P127" s="10" t="n"/>
      <c r="Q127" s="10" t="n"/>
      <c r="R127" s="10" t="n"/>
      <c r="S127" s="10" t="n"/>
      <c r="T127" s="10" t="n"/>
      <c r="U127" s="10" t="n"/>
    </row>
    <row r="128" ht="19" customHeight="1" s="74">
      <c r="A128" s="226" t="inlineStr">
        <is>
          <t>QUARTERLY TREND ANALYSIS</t>
        </is>
      </c>
    </row>
    <row r="129" ht="28" customHeight="1" s="74">
      <c r="A129" s="240" t="inlineStr">
        <is>
          <t>Period</t>
        </is>
      </c>
      <c r="B129" s="14" t="n"/>
      <c r="C129" s="14" t="n"/>
      <c r="D129" s="14" t="n"/>
      <c r="E129" s="14" t="n"/>
      <c r="F129" s="14" t="n"/>
      <c r="G129" s="14" t="n"/>
      <c r="H129" s="14" t="n"/>
      <c r="I129" s="14" t="n"/>
      <c r="J129" s="14" t="n"/>
      <c r="K129" s="14" t="n"/>
      <c r="L129" s="14" t="n"/>
      <c r="N129" s="14">
        <f>Data!N13</f>
        <v/>
      </c>
      <c r="O129" s="14">
        <f>Data!O13</f>
        <v/>
      </c>
      <c r="P129" s="14">
        <f>Data!P13</f>
        <v/>
      </c>
      <c r="Q129" s="14">
        <f>Data!Q13</f>
        <v/>
      </c>
      <c r="R129" s="14">
        <f>Data!R13</f>
        <v/>
      </c>
      <c r="S129" s="14">
        <f>Data!S13</f>
        <v/>
      </c>
      <c r="T129" s="14">
        <f>Data!T13</f>
        <v/>
      </c>
      <c r="U129" s="14">
        <f>Data!U13</f>
        <v/>
      </c>
      <c r="V129" s="14">
        <f>Data!V13</f>
        <v/>
      </c>
      <c r="W129" s="14">
        <f>Data!W13</f>
        <v/>
      </c>
      <c r="X129" s="14">
        <f>Data!X13</f>
        <v/>
      </c>
      <c r="Y129" s="14">
        <f>Data!Y13</f>
        <v/>
      </c>
    </row>
    <row r="130" ht="15" customHeight="1" s="74">
      <c r="A130" s="259" t="inlineStr">
        <is>
          <t>Revenue QoQ</t>
        </is>
      </c>
      <c r="B130" s="312" t="n"/>
      <c r="C130" s="312" t="n"/>
      <c r="D130" s="312" t="n"/>
      <c r="E130" s="312" t="n"/>
      <c r="F130" s="312" t="n"/>
      <c r="G130" s="312" t="n"/>
      <c r="H130" s="312" t="n"/>
      <c r="I130" s="312" t="n"/>
      <c r="J130" s="312" t="n"/>
      <c r="K130" s="312" t="n"/>
      <c r="L130" s="312" t="n"/>
      <c r="M130" s="261" t="n"/>
      <c r="N130" s="275" t="n"/>
      <c r="O130" s="275">
        <f>IFERROR(IF(OR(NOT(ISNUMBER(Data!O14)),NOT(ISNUMBER(Data!N14))),"-",(Data!O14-Data!N14)/ABS(Data!N14)),"-")</f>
        <v/>
      </c>
      <c r="P130" s="275">
        <f>IFERROR(IF(OR(NOT(ISNUMBER(Data!P14)),NOT(ISNUMBER(Data!O14))),"-",(Data!P14-Data!O14)/ABS(Data!O14)),"-")</f>
        <v/>
      </c>
      <c r="Q130" s="275">
        <f>IFERROR(IF(OR(NOT(ISNUMBER(Data!Q14)),NOT(ISNUMBER(Data!P14))),"-",(Data!Q14-Data!P14)/ABS(Data!P14)),"-")</f>
        <v/>
      </c>
      <c r="R130" s="275">
        <f>IFERROR(IF(OR(NOT(ISNUMBER(Data!R14)),NOT(ISNUMBER(Data!Q14))),"-",(Data!R14-Data!Q14)/ABS(Data!Q14)),"-")</f>
        <v/>
      </c>
      <c r="S130" s="275">
        <f>IFERROR(IF(OR(NOT(ISNUMBER(Data!S14)),NOT(ISNUMBER(Data!R14))),"-",(Data!S14-Data!R14)/ABS(Data!R14)),"-")</f>
        <v/>
      </c>
      <c r="T130" s="275">
        <f>IFERROR(IF(OR(NOT(ISNUMBER(Data!T14)),NOT(ISNUMBER(Data!S14))),"-",(Data!T14-Data!S14)/ABS(Data!S14)),"-")</f>
        <v/>
      </c>
      <c r="U130" s="275">
        <f>IFERROR(IF(OR(NOT(ISNUMBER(Data!U14)),NOT(ISNUMBER(Data!T14))),"-",(Data!U14-Data!T14)/ABS(Data!T14)),"-")</f>
        <v/>
      </c>
      <c r="V130" s="274">
        <f>IFERROR(IF(OR(NOT(ISNUMBER(Data!V14)),NOT(ISNUMBER(Data!U14))),"-",(Data!V14-Data!U14)/ABS(Data!U14)),"-")</f>
        <v/>
      </c>
      <c r="W130" s="274">
        <f>IFERROR(IF(OR(NOT(ISNUMBER(Data!W14)),NOT(ISNUMBER(Data!V14))),"-",(Data!W14-Data!V14)/ABS(Data!V14)),"-")</f>
        <v/>
      </c>
      <c r="X130" s="467">
        <f>IFERROR(IF(OR(NOT(ISNUMBER(Data!X14)),NOT(ISNUMBER(Data!W14))),"-",(Data!X14-Data!W14)/ABS(Data!W14)),"-")</f>
        <v/>
      </c>
      <c r="Y130" s="467">
        <f>IFERROR(IF(OR(NOT(ISNUMBER(Data!Y14)),NOT(ISNUMBER(Data!X14))),"-",(Data!Y14-Data!X14)/ABS(Data!X14)),"-")</f>
        <v/>
      </c>
    </row>
    <row r="131" ht="15" customHeight="1" s="74">
      <c r="A131" s="263" t="inlineStr">
        <is>
          <t>Net Income QoQ</t>
        </is>
      </c>
      <c r="B131" s="312" t="n"/>
      <c r="C131" s="312" t="n"/>
      <c r="D131" s="312" t="n"/>
      <c r="E131" s="312" t="n"/>
      <c r="F131" s="312" t="n"/>
      <c r="G131" s="312" t="n"/>
      <c r="H131" s="312" t="n"/>
      <c r="I131" s="312" t="n"/>
      <c r="J131" s="312" t="n"/>
      <c r="K131" s="312" t="n"/>
      <c r="L131" s="312" t="n"/>
      <c r="M131" s="261" t="n"/>
      <c r="N131" s="277" t="n"/>
      <c r="O131" s="277">
        <f>IFERROR(IF(OR(NOT(ISNUMBER(Data!O26)),NOT(ISNUMBER(Data!N26))),"-",(Data!O26-Data!N26)/ABS(Data!N26)),"-")</f>
        <v/>
      </c>
      <c r="P131" s="277">
        <f>IFERROR(IF(OR(NOT(ISNUMBER(Data!P26)),NOT(ISNUMBER(Data!O26))),"-",(Data!P26-Data!O26)/ABS(Data!O26)),"-")</f>
        <v/>
      </c>
      <c r="Q131" s="277">
        <f>IFERROR(IF(OR(NOT(ISNUMBER(Data!Q26)),NOT(ISNUMBER(Data!P26))),"-",(Data!Q26-Data!P26)/ABS(Data!P26)),"-")</f>
        <v/>
      </c>
      <c r="R131" s="277">
        <f>IFERROR(IF(OR(NOT(ISNUMBER(Data!R26)),NOT(ISNUMBER(Data!Q26))),"-",(Data!R26-Data!Q26)/ABS(Data!Q26)),"-")</f>
        <v/>
      </c>
      <c r="S131" s="277">
        <f>IFERROR(IF(OR(NOT(ISNUMBER(Data!S26)),NOT(ISNUMBER(Data!R26))),"-",(Data!S26-Data!R26)/ABS(Data!R26)),"-")</f>
        <v/>
      </c>
      <c r="T131" s="277">
        <f>IFERROR(IF(OR(NOT(ISNUMBER(Data!T26)),NOT(ISNUMBER(Data!S26))),"-",(Data!T26-Data!S26)/ABS(Data!S26)),"-")</f>
        <v/>
      </c>
      <c r="U131" s="277">
        <f>IFERROR(IF(OR(NOT(ISNUMBER(Data!U26)),NOT(ISNUMBER(Data!T26))),"-",(Data!U26-Data!T26)/ABS(Data!T26)),"-")</f>
        <v/>
      </c>
      <c r="V131" s="276">
        <f>IFERROR(IF(OR(NOT(ISNUMBER(Data!V26)),NOT(ISNUMBER(Data!U26))),"-",(Data!V26-Data!U26)/ABS(Data!U26)),"-")</f>
        <v/>
      </c>
      <c r="W131" s="276">
        <f>IFERROR(IF(OR(NOT(ISNUMBER(Data!W26)),NOT(ISNUMBER(Data!V26))),"-",(Data!W26-Data!V26)/ABS(Data!V26)),"-")</f>
        <v/>
      </c>
      <c r="X131" s="467">
        <f>IFERROR(IF(OR(NOT(ISNUMBER(Data!X26)),NOT(ISNUMBER(Data!W26))),"-",(Data!X26-Data!W26)/ABS(Data!W26)),"-")</f>
        <v/>
      </c>
      <c r="Y131" s="467">
        <f>IFERROR(IF(OR(NOT(ISNUMBER(Data!Y26)),NOT(ISNUMBER(Data!X26))),"-",(Data!Y26-Data!X26)/ABS(Data!X26)),"-")</f>
        <v/>
      </c>
    </row>
    <row r="132" ht="15" customHeight="1" s="74">
      <c r="A132" s="259" t="inlineStr">
        <is>
          <t>EPS QoQ</t>
        </is>
      </c>
      <c r="B132" s="312" t="n"/>
      <c r="C132" s="312" t="n"/>
      <c r="D132" s="312" t="n"/>
      <c r="E132" s="312" t="n"/>
      <c r="F132" s="312" t="n"/>
      <c r="G132" s="312" t="n"/>
      <c r="H132" s="312" t="n"/>
      <c r="I132" s="312" t="n"/>
      <c r="J132" s="312" t="n"/>
      <c r="K132" s="312" t="n"/>
      <c r="L132" s="312" t="n"/>
      <c r="M132" s="261" t="n"/>
      <c r="N132" s="274" t="n"/>
      <c r="O132" s="274">
        <f>IFERROR(IF(OR(NOT(ISNUMBER(Data!O27)),NOT(ISNUMBER(Data!N27))),"-",(Data!O27-Data!N27)/ABS(Data!N27)),"-")</f>
        <v/>
      </c>
      <c r="P132" s="274">
        <f>IFERROR(IF(OR(NOT(ISNUMBER(Data!P27)),NOT(ISNUMBER(Data!O27))),"-",(Data!P27-Data!O27)/ABS(Data!O27)),"-")</f>
        <v/>
      </c>
      <c r="Q132" s="274">
        <f>IFERROR(IF(OR(NOT(ISNUMBER(Data!Q27)),NOT(ISNUMBER(Data!P27))),"-",(Data!Q27-Data!P27)/ABS(Data!P27)),"-")</f>
        <v/>
      </c>
      <c r="R132" s="274">
        <f>IFERROR(IF(OR(NOT(ISNUMBER(Data!R27)),NOT(ISNUMBER(Data!Q27))),"-",(Data!R27-Data!Q27)/ABS(Data!Q27)),"-")</f>
        <v/>
      </c>
      <c r="S132" s="274">
        <f>IFERROR(IF(OR(NOT(ISNUMBER(Data!S27)),NOT(ISNUMBER(Data!R27))),"-",(Data!S27-Data!R27)/ABS(Data!R27)),"-")</f>
        <v/>
      </c>
      <c r="T132" s="274">
        <f>IFERROR(IF(OR(NOT(ISNUMBER(Data!T27)),NOT(ISNUMBER(Data!S27))),"-",(Data!T27-Data!S27)/ABS(Data!S27)),"-")</f>
        <v/>
      </c>
      <c r="U132" s="274">
        <f>IFERROR(IF(OR(NOT(ISNUMBER(Data!U27)),NOT(ISNUMBER(Data!T27))),"-",(Data!U27-Data!T27)/ABS(Data!T27)),"-")</f>
        <v/>
      </c>
      <c r="V132" s="274">
        <f>IFERROR(IF(OR(NOT(ISNUMBER(Data!V27)),NOT(ISNUMBER(Data!U27))),"-",(Data!V27-Data!U27)/ABS(Data!U27)),"-")</f>
        <v/>
      </c>
      <c r="W132" s="274">
        <f>IFERROR(IF(OR(NOT(ISNUMBER(Data!W27)),NOT(ISNUMBER(Data!V27))),"-",(Data!W27-Data!V27)/ABS(Data!V27)),"-")</f>
        <v/>
      </c>
      <c r="X132" s="467">
        <f>IFERROR(IF(OR(NOT(ISNUMBER(Data!X27)),NOT(ISNUMBER(Data!W27))),"-",(Data!X27-Data!W27)/ABS(Data!W27)),"-")</f>
        <v/>
      </c>
      <c r="Y132" s="467">
        <f>IFERROR(IF(OR(NOT(ISNUMBER(Data!Y27)),NOT(ISNUMBER(Data!X27))),"-",(Data!Y27-Data!X27)/ABS(Data!X27)),"-")</f>
        <v/>
      </c>
    </row>
    <row r="133" ht="15" customHeight="1" s="74">
      <c r="A133" s="263" t="inlineStr">
        <is>
          <t>EBITDA QoQ</t>
        </is>
      </c>
      <c r="B133" s="312" t="n"/>
      <c r="C133" s="312" t="n"/>
      <c r="D133" s="312" t="n"/>
      <c r="E133" s="312" t="n"/>
      <c r="F133" s="312" t="n"/>
      <c r="G133" s="312" t="n"/>
      <c r="H133" s="312" t="n"/>
      <c r="I133" s="312" t="n"/>
      <c r="J133" s="312" t="n"/>
      <c r="K133" s="312" t="n"/>
      <c r="L133" s="312" t="n"/>
      <c r="M133" s="261" t="n"/>
      <c r="N133" s="277" t="n"/>
      <c r="O133" s="277">
        <f>IFERROR(IF(OR(NOT(ISNUMBER(Data!O20)),NOT(ISNUMBER(Data!N20))),"-",(Data!O20-Data!N20)/ABS(Data!N20)),"-")</f>
        <v/>
      </c>
      <c r="P133" s="277">
        <f>IFERROR(IF(OR(NOT(ISNUMBER(Data!P20)),NOT(ISNUMBER(Data!O20))),"-",(Data!P20-Data!O20)/ABS(Data!O20)),"-")</f>
        <v/>
      </c>
      <c r="Q133" s="277">
        <f>IFERROR(IF(OR(NOT(ISNUMBER(Data!Q20)),NOT(ISNUMBER(Data!P20))),"-",(Data!Q20-Data!P20)/ABS(Data!P20)),"-")</f>
        <v/>
      </c>
      <c r="R133" s="277">
        <f>IFERROR(IF(OR(NOT(ISNUMBER(Data!R20)),NOT(ISNUMBER(Data!Q20))),"-",(Data!R20-Data!Q20)/ABS(Data!Q20)),"-")</f>
        <v/>
      </c>
      <c r="S133" s="277">
        <f>IFERROR(IF(OR(NOT(ISNUMBER(Data!S20)),NOT(ISNUMBER(Data!R20))),"-",(Data!S20-Data!R20)/ABS(Data!R20)),"-")</f>
        <v/>
      </c>
      <c r="T133" s="277">
        <f>IFERROR(IF(OR(NOT(ISNUMBER(Data!T20)),NOT(ISNUMBER(Data!S20))),"-",(Data!T20-Data!S20)/ABS(Data!S20)),"-")</f>
        <v/>
      </c>
      <c r="U133" s="277">
        <f>IFERROR(IF(OR(NOT(ISNUMBER(Data!U20)),NOT(ISNUMBER(Data!T20))),"-",(Data!U20-Data!T20)/ABS(Data!T20)),"-")</f>
        <v/>
      </c>
      <c r="V133" s="276">
        <f>IFERROR(IF(OR(NOT(ISNUMBER(Data!V20)),NOT(ISNUMBER(Data!U20))),"-",(Data!V20-Data!U20)/ABS(Data!U20)),"-")</f>
        <v/>
      </c>
      <c r="W133" s="276">
        <f>IFERROR(IF(OR(NOT(ISNUMBER(Data!W20)),NOT(ISNUMBER(Data!V20))),"-",(Data!W20-Data!V20)/ABS(Data!V20)),"-")</f>
        <v/>
      </c>
      <c r="X133" s="467">
        <f>IFERROR(IF(OR(NOT(ISNUMBER(Data!X20)),NOT(ISNUMBER(Data!W20))),"-",(Data!X20-Data!W20)/ABS(Data!W20)),"-")</f>
        <v/>
      </c>
      <c r="Y133" s="467">
        <f>IFERROR(IF(OR(NOT(ISNUMBER(Data!Y20)),NOT(ISNUMBER(Data!X20))),"-",(Data!Y20-Data!X20)/ABS(Data!X20)),"-")</f>
        <v/>
      </c>
    </row>
    <row r="134" ht="15" customHeight="1" s="74">
      <c r="A134" s="259" t="inlineStr">
        <is>
          <t>FCF QoQ</t>
        </is>
      </c>
      <c r="B134" s="312" t="n"/>
      <c r="C134" s="312" t="n"/>
      <c r="D134" s="312" t="n"/>
      <c r="E134" s="312" t="n"/>
      <c r="F134" s="312" t="n"/>
      <c r="G134" s="312" t="n"/>
      <c r="H134" s="312" t="n"/>
      <c r="I134" s="312" t="n"/>
      <c r="J134" s="312" t="n"/>
      <c r="K134" s="312" t="n"/>
      <c r="L134" s="312" t="n"/>
      <c r="M134" s="261" t="n"/>
      <c r="N134" s="275" t="n"/>
      <c r="O134" s="275">
        <f>IFERROR(IF(OR(NOT(ISNUMBER(Data!O53)),NOT(ISNUMBER(Data!N53))),"-",(Data!O53-Data!N53)/ABS(Data!N53)),"-")</f>
        <v/>
      </c>
      <c r="P134" s="275">
        <f>IFERROR(IF(OR(NOT(ISNUMBER(Data!P53)),NOT(ISNUMBER(Data!O53))),"-",(Data!P53-Data!O53)/ABS(Data!O53)),"-")</f>
        <v/>
      </c>
      <c r="Q134" s="275">
        <f>IFERROR(IF(OR(NOT(ISNUMBER(Data!Q53)),NOT(ISNUMBER(Data!P53))),"-",(Data!Q53-Data!P53)/ABS(Data!P53)),"-")</f>
        <v/>
      </c>
      <c r="R134" s="275">
        <f>IFERROR(IF(OR(NOT(ISNUMBER(Data!R53)),NOT(ISNUMBER(Data!Q53))),"-",(Data!R53-Data!Q53)/ABS(Data!Q53)),"-")</f>
        <v/>
      </c>
      <c r="S134" s="275">
        <f>IFERROR(IF(OR(NOT(ISNUMBER(Data!S53)),NOT(ISNUMBER(Data!R53))),"-",(Data!S53-Data!R53)/ABS(Data!R53)),"-")</f>
        <v/>
      </c>
      <c r="T134" s="275">
        <f>IFERROR(IF(OR(NOT(ISNUMBER(Data!T53)),NOT(ISNUMBER(Data!S53))),"-",(Data!T53-Data!S53)/ABS(Data!S53)),"-")</f>
        <v/>
      </c>
      <c r="U134" s="275">
        <f>IFERROR(IF(OR(NOT(ISNUMBER(Data!U53)),NOT(ISNUMBER(Data!T53))),"-",(Data!U53-Data!T53)/ABS(Data!T53)),"-")</f>
        <v/>
      </c>
      <c r="V134" s="274">
        <f>IFERROR(IF(OR(NOT(ISNUMBER(Data!V53)),NOT(ISNUMBER(Data!U53))),"-",(Data!V53-Data!U53)/ABS(Data!U53)),"-")</f>
        <v/>
      </c>
      <c r="W134" s="274">
        <f>IFERROR(IF(OR(NOT(ISNUMBER(Data!W53)),NOT(ISNUMBER(Data!V53))),"-",(Data!W53-Data!V53)/ABS(Data!V53)),"-")</f>
        <v/>
      </c>
      <c r="X134" s="467">
        <f>IFERROR(IF(OR(NOT(ISNUMBER(Data!X53)),NOT(ISNUMBER(Data!W53))),"-",(Data!X53-Data!W53)/ABS(Data!W53)),"-")</f>
        <v/>
      </c>
      <c r="Y134" s="467">
        <f>IFERROR(IF(OR(NOT(ISNUMBER(Data!Y53)),NOT(ISNUMBER(Data!X53))),"-",(Data!Y53-Data!X53)/ABS(Data!X53)),"-")</f>
        <v/>
      </c>
    </row>
    <row r="135" ht="15" customHeight="1" s="74">
      <c r="A135" s="272" t="n"/>
      <c r="B135" s="272" t="n"/>
      <c r="C135" s="272" t="n"/>
      <c r="D135" s="272" t="n"/>
      <c r="E135" s="272" t="n"/>
      <c r="F135" s="272" t="n"/>
      <c r="G135" s="272" t="n"/>
      <c r="H135" s="272" t="n"/>
      <c r="I135" s="272" t="n"/>
      <c r="J135" s="272" t="n"/>
      <c r="K135" s="272" t="n"/>
      <c r="L135" s="272" t="n"/>
      <c r="M135" s="261" t="n"/>
      <c r="N135" s="272" t="n"/>
      <c r="O135" s="272" t="n"/>
      <c r="P135" s="272" t="n"/>
      <c r="Q135" s="272" t="n"/>
      <c r="R135" s="272" t="n"/>
      <c r="S135" s="272" t="n"/>
      <c r="T135" s="272" t="n"/>
      <c r="U135" s="272" t="n"/>
      <c r="V135" s="261" t="n"/>
      <c r="W135" s="261" t="n"/>
      <c r="X135" s="261" t="n"/>
      <c r="Y135" s="261" t="n"/>
    </row>
    <row r="136" ht="15" customHeight="1" s="74">
      <c r="A136" s="234" t="inlineStr">
        <is>
          <t>─ Year-over-Year (Quarter) ─</t>
        </is>
      </c>
      <c r="B136" s="2" t="n"/>
      <c r="C136" s="2" t="n"/>
      <c r="D136" s="2" t="n"/>
      <c r="E136" s="2" t="n"/>
      <c r="F136" s="2" t="n"/>
      <c r="G136" s="2" t="n"/>
      <c r="H136" s="2" t="n"/>
      <c r="I136" s="2" t="n"/>
      <c r="J136" s="2" t="n"/>
      <c r="K136" s="2" t="n"/>
      <c r="L136" s="2" t="n"/>
      <c r="N136" s="2" t="n"/>
      <c r="O136" s="2" t="n"/>
      <c r="P136" s="2" t="n"/>
      <c r="Q136" s="2" t="n"/>
      <c r="R136" s="2" t="n"/>
      <c r="S136" s="2" t="n"/>
      <c r="T136" s="2" t="n"/>
      <c r="U136" s="2" t="n"/>
    </row>
    <row r="137" ht="15" customHeight="1" s="74">
      <c r="A137" s="259" t="inlineStr">
        <is>
          <t>Revenue YoY-Q</t>
        </is>
      </c>
      <c r="B137" s="312" t="n"/>
      <c r="C137" s="312" t="n"/>
      <c r="D137" s="312" t="n"/>
      <c r="E137" s="312" t="n"/>
      <c r="F137" s="312" t="n"/>
      <c r="G137" s="312" t="n"/>
      <c r="H137" s="312" t="n"/>
      <c r="I137" s="312" t="n"/>
      <c r="J137" s="312" t="n"/>
      <c r="K137" s="312" t="n"/>
      <c r="L137" s="312" t="n"/>
      <c r="M137" s="261" t="n"/>
      <c r="N137" s="275" t="n"/>
      <c r="O137" s="275" t="n"/>
      <c r="P137" s="275" t="n"/>
      <c r="Q137" s="275" t="n"/>
      <c r="R137" s="275">
        <f>IFERROR(IF(OR(NOT(ISNUMBER(Data!R14)),NOT(ISNUMBER(Data!N14))),"-",(Data!R14-Data!N14)/ABS(Data!N14)),"-")</f>
        <v/>
      </c>
      <c r="S137" s="275">
        <f>IFERROR(IF(OR(NOT(ISNUMBER(Data!S14)),NOT(ISNUMBER(Data!O14))),"-",(Data!S14-Data!O14)/ABS(Data!O14)),"-")</f>
        <v/>
      </c>
      <c r="T137" s="275">
        <f>IFERROR(IF(OR(NOT(ISNUMBER(Data!T14)),NOT(ISNUMBER(Data!P14))),"-",(Data!T14-Data!P14)/ABS(Data!P14)),"-")</f>
        <v/>
      </c>
      <c r="U137" s="275">
        <f>IFERROR(IF(OR(NOT(ISNUMBER(Data!U14)),NOT(ISNUMBER(Data!Q14))),"-",(Data!U14-Data!Q14)/ABS(Data!Q14)),"-")</f>
        <v/>
      </c>
      <c r="V137" s="274">
        <f>IFERROR(IF(OR(NOT(ISNUMBER(Data!V14)),NOT(ISNUMBER(Data!R14))),"-",(Data!V14-Data!R14)/ABS(Data!R14)),"-")</f>
        <v/>
      </c>
      <c r="W137" s="274">
        <f>IFERROR(IF(OR(NOT(ISNUMBER(Data!W14)),NOT(ISNUMBER(Data!S14))),"-",(Data!W14-Data!S14)/ABS(Data!S14)),"-")</f>
        <v/>
      </c>
      <c r="X137" s="467">
        <f>IFERROR(IF(OR(NOT(ISNUMBER(Data!X14)),NOT(ISNUMBER(Data!T14))),"-",(Data!X14-Data!T14)/ABS(Data!T14)),"-")</f>
        <v/>
      </c>
      <c r="Y137" s="467">
        <f>IFERROR(IF(OR(NOT(ISNUMBER(Data!Y14)),NOT(ISNUMBER(Data!U14))),"-",(Data!Y14-Data!U14)/ABS(Data!U14)),"-")</f>
        <v/>
      </c>
    </row>
    <row r="138" ht="15" customHeight="1" s="74">
      <c r="A138" s="263" t="inlineStr">
        <is>
          <t>Net Income YoY-Q</t>
        </is>
      </c>
      <c r="B138" s="312" t="n"/>
      <c r="C138" s="312" t="n"/>
      <c r="D138" s="312" t="n"/>
      <c r="E138" s="312" t="n"/>
      <c r="F138" s="312" t="n"/>
      <c r="G138" s="312" t="n"/>
      <c r="H138" s="312" t="n"/>
      <c r="I138" s="312" t="n"/>
      <c r="J138" s="312" t="n"/>
      <c r="K138" s="312" t="n"/>
      <c r="L138" s="312" t="n"/>
      <c r="M138" s="261" t="n"/>
      <c r="N138" s="276" t="n"/>
      <c r="O138" s="276" t="n"/>
      <c r="P138" s="276" t="n"/>
      <c r="Q138" s="276" t="n"/>
      <c r="R138" s="276">
        <f>IFERROR(IF(OR(NOT(ISNUMBER(Data!R26)),NOT(ISNUMBER(Data!N26))),"-",(Data!R26-Data!N26)/ABS(Data!N26)),"-")</f>
        <v/>
      </c>
      <c r="S138" s="276">
        <f>IFERROR(IF(OR(NOT(ISNUMBER(Data!S26)),NOT(ISNUMBER(Data!O26))),"-",(Data!S26-Data!O26)/ABS(Data!O26)),"-")</f>
        <v/>
      </c>
      <c r="T138" s="276">
        <f>IFERROR(IF(OR(NOT(ISNUMBER(Data!T26)),NOT(ISNUMBER(Data!P26))),"-",(Data!T26-Data!P26)/ABS(Data!P26)),"-")</f>
        <v/>
      </c>
      <c r="U138" s="276">
        <f>IFERROR(IF(OR(NOT(ISNUMBER(Data!U26)),NOT(ISNUMBER(Data!Q26))),"-",(Data!U26-Data!Q26)/ABS(Data!Q26)),"-")</f>
        <v/>
      </c>
      <c r="V138" s="276">
        <f>IFERROR(IF(OR(NOT(ISNUMBER(Data!V26)),NOT(ISNUMBER(Data!R26))),"-",(Data!V26-Data!R26)/ABS(Data!R26)),"-")</f>
        <v/>
      </c>
      <c r="W138" s="276">
        <f>IFERROR(IF(OR(NOT(ISNUMBER(Data!W26)),NOT(ISNUMBER(Data!S26))),"-",(Data!W26-Data!S26)/ABS(Data!S26)),"-")</f>
        <v/>
      </c>
      <c r="X138" s="467">
        <f>IFERROR(IF(OR(NOT(ISNUMBER(Data!X26)),NOT(ISNUMBER(Data!T26))),"-",(Data!X26-Data!T26)/ABS(Data!T26)),"-")</f>
        <v/>
      </c>
      <c r="Y138" s="467">
        <f>IFERROR(IF(OR(NOT(ISNUMBER(Data!Y26)),NOT(ISNUMBER(Data!U26))),"-",(Data!Y26-Data!U26)/ABS(Data!U26)),"-")</f>
        <v/>
      </c>
    </row>
    <row r="139" ht="15" customHeight="1" s="74">
      <c r="A139" s="259" t="inlineStr">
        <is>
          <t>EPS YoY-Q</t>
        </is>
      </c>
      <c r="B139" s="312" t="n"/>
      <c r="C139" s="312" t="n"/>
      <c r="D139" s="312" t="n"/>
      <c r="E139" s="312" t="n"/>
      <c r="F139" s="312" t="n"/>
      <c r="G139" s="312" t="n"/>
      <c r="H139" s="312" t="n"/>
      <c r="I139" s="312" t="n"/>
      <c r="J139" s="312" t="n"/>
      <c r="K139" s="312" t="n"/>
      <c r="L139" s="312" t="n"/>
      <c r="M139" s="261" t="n"/>
      <c r="N139" s="275" t="n"/>
      <c r="O139" s="275" t="n"/>
      <c r="P139" s="275" t="n"/>
      <c r="Q139" s="275" t="n"/>
      <c r="R139" s="275">
        <f>IFERROR(IF(OR(NOT(ISNUMBER(Data!R27)),NOT(ISNUMBER(Data!N27))),"-",(Data!R27-Data!N27)/ABS(Data!N27)),"-")</f>
        <v/>
      </c>
      <c r="S139" s="275">
        <f>IFERROR(IF(OR(NOT(ISNUMBER(Data!S27)),NOT(ISNUMBER(Data!O27))),"-",(Data!S27-Data!O27)/ABS(Data!O27)),"-")</f>
        <v/>
      </c>
      <c r="T139" s="275">
        <f>IFERROR(IF(OR(NOT(ISNUMBER(Data!T27)),NOT(ISNUMBER(Data!P27))),"-",(Data!T27-Data!P27)/ABS(Data!P27)),"-")</f>
        <v/>
      </c>
      <c r="U139" s="275">
        <f>IFERROR(IF(OR(NOT(ISNUMBER(Data!U27)),NOT(ISNUMBER(Data!Q27))),"-",(Data!U27-Data!Q27)/ABS(Data!Q27)),"-")</f>
        <v/>
      </c>
      <c r="V139" s="274">
        <f>IFERROR(IF(OR(NOT(ISNUMBER(Data!V27)),NOT(ISNUMBER(Data!R27))),"-",(Data!V27-Data!R27)/ABS(Data!R27)),"-")</f>
        <v/>
      </c>
      <c r="W139" s="274">
        <f>IFERROR(IF(OR(NOT(ISNUMBER(Data!W27)),NOT(ISNUMBER(Data!S27))),"-",(Data!W27-Data!S27)/ABS(Data!S27)),"-")</f>
        <v/>
      </c>
      <c r="X139" s="467">
        <f>IFERROR(IF(OR(NOT(ISNUMBER(Data!X27)),NOT(ISNUMBER(Data!T27))),"-",(Data!X27-Data!T27)/ABS(Data!T27)),"-")</f>
        <v/>
      </c>
      <c r="Y139" s="467">
        <f>IFERROR(IF(OR(NOT(ISNUMBER(Data!Y27)),NOT(ISNUMBER(Data!U27))),"-",(Data!Y27-Data!U27)/ABS(Data!U27)),"-")</f>
        <v/>
      </c>
    </row>
    <row r="140" ht="15" customHeight="1" s="74">
      <c r="A140" s="263" t="inlineStr">
        <is>
          <t>EBITDA YoY-Q</t>
        </is>
      </c>
      <c r="B140" s="312" t="n"/>
      <c r="C140" s="312" t="n"/>
      <c r="D140" s="312" t="n"/>
      <c r="E140" s="312" t="n"/>
      <c r="F140" s="312" t="n"/>
      <c r="G140" s="312" t="n"/>
      <c r="H140" s="312" t="n"/>
      <c r="I140" s="312" t="n"/>
      <c r="J140" s="312" t="n"/>
      <c r="K140" s="312" t="n"/>
      <c r="L140" s="312" t="n"/>
      <c r="M140" s="261" t="n"/>
      <c r="N140" s="277" t="n"/>
      <c r="O140" s="277" t="n"/>
      <c r="P140" s="277" t="n"/>
      <c r="Q140" s="277" t="n"/>
      <c r="R140" s="277">
        <f>IFERROR(IF(OR(NOT(ISNUMBER(Data!R20)),NOT(ISNUMBER(Data!N20))),"-",(Data!R20-Data!N20)/ABS(Data!N20)),"-")</f>
        <v/>
      </c>
      <c r="S140" s="277">
        <f>IFERROR(IF(OR(NOT(ISNUMBER(Data!S20)),NOT(ISNUMBER(Data!O20))),"-",(Data!S20-Data!O20)/ABS(Data!O20)),"-")</f>
        <v/>
      </c>
      <c r="T140" s="277">
        <f>IFERROR(IF(OR(NOT(ISNUMBER(Data!T20)),NOT(ISNUMBER(Data!P20))),"-",(Data!T20-Data!P20)/ABS(Data!P20)),"-")</f>
        <v/>
      </c>
      <c r="U140" s="277">
        <f>IFERROR(IF(OR(NOT(ISNUMBER(Data!U20)),NOT(ISNUMBER(Data!Q20))),"-",(Data!U20-Data!Q20)/ABS(Data!Q20)),"-")</f>
        <v/>
      </c>
      <c r="V140" s="276">
        <f>IFERROR(IF(OR(NOT(ISNUMBER(Data!V20)),NOT(ISNUMBER(Data!R20))),"-",(Data!V20-Data!R20)/ABS(Data!R20)),"-")</f>
        <v/>
      </c>
      <c r="W140" s="276">
        <f>IFERROR(IF(OR(NOT(ISNUMBER(Data!W20)),NOT(ISNUMBER(Data!S20))),"-",(Data!W20-Data!S20)/ABS(Data!S20)),"-")</f>
        <v/>
      </c>
      <c r="X140" s="467">
        <f>IFERROR(IF(OR(NOT(ISNUMBER(Data!X20)),NOT(ISNUMBER(Data!T20))),"-",(Data!X20-Data!T20)/ABS(Data!T20)),"-")</f>
        <v/>
      </c>
      <c r="Y140" s="467">
        <f>IFERROR(IF(OR(NOT(ISNUMBER(Data!Y20)),NOT(ISNUMBER(Data!U20))),"-",(Data!Y20-Data!U20)/ABS(Data!U20)),"-")</f>
        <v/>
      </c>
    </row>
    <row r="141" ht="15" customHeight="1" s="74">
      <c r="A141" s="259" t="inlineStr">
        <is>
          <t>FCF YoY-Q</t>
        </is>
      </c>
      <c r="B141" s="312" t="n"/>
      <c r="C141" s="312" t="n"/>
      <c r="D141" s="312" t="n"/>
      <c r="E141" s="312" t="n"/>
      <c r="F141" s="312" t="n"/>
      <c r="G141" s="312" t="n"/>
      <c r="H141" s="312" t="n"/>
      <c r="I141" s="312" t="n"/>
      <c r="J141" s="312" t="n"/>
      <c r="K141" s="312" t="n"/>
      <c r="L141" s="312" t="n"/>
      <c r="M141" s="261" t="n"/>
      <c r="N141" s="275" t="n"/>
      <c r="O141" s="275" t="n"/>
      <c r="P141" s="275" t="n"/>
      <c r="Q141" s="275" t="n"/>
      <c r="R141" s="275">
        <f>IFERROR(IF(OR(NOT(ISNUMBER(Data!R53)),NOT(ISNUMBER(Data!N53))),"-",(Data!R53-Data!N53)/ABS(Data!N53)),"-")</f>
        <v/>
      </c>
      <c r="S141" s="275">
        <f>IFERROR(IF(OR(NOT(ISNUMBER(Data!S53)),NOT(ISNUMBER(Data!O53))),"-",(Data!S53-Data!O53)/ABS(Data!O53)),"-")</f>
        <v/>
      </c>
      <c r="T141" s="275">
        <f>IFERROR(IF(OR(NOT(ISNUMBER(Data!T53)),NOT(ISNUMBER(Data!P53))),"-",(Data!T53-Data!P53)/ABS(Data!P53)),"-")</f>
        <v/>
      </c>
      <c r="U141" s="275">
        <f>IFERROR(IF(OR(NOT(ISNUMBER(Data!U53)),NOT(ISNUMBER(Data!Q53))),"-",(Data!U53-Data!Q53)/ABS(Data!Q53)),"-")</f>
        <v/>
      </c>
      <c r="V141" s="274">
        <f>IFERROR(IF(OR(NOT(ISNUMBER(Data!V53)),NOT(ISNUMBER(Data!R53))),"-",(Data!V53-Data!R53)/ABS(Data!R53)),"-")</f>
        <v/>
      </c>
      <c r="W141" s="274">
        <f>IFERROR(IF(OR(NOT(ISNUMBER(Data!W53)),NOT(ISNUMBER(Data!S53))),"-",(Data!W53-Data!S53)/ABS(Data!S53)),"-")</f>
        <v/>
      </c>
      <c r="X141" s="467">
        <f>IFERROR(IF(OR(NOT(ISNUMBER(Data!X53)),NOT(ISNUMBER(Data!T53))),"-",(Data!X53-Data!T53)/ABS(Data!T53)),"-")</f>
        <v/>
      </c>
      <c r="Y141" s="467">
        <f>IFERROR(IF(OR(NOT(ISNUMBER(Data!Y53)),NOT(ISNUMBER(Data!U53))),"-",(Data!Y53-Data!U53)/ABS(Data!U53)),"-")</f>
        <v/>
      </c>
    </row>
    <row r="142" ht="15" customHeight="1" s="74">
      <c r="A142" s="272" t="n"/>
      <c r="B142" s="272" t="n"/>
      <c r="C142" s="272" t="n"/>
      <c r="D142" s="272" t="n"/>
      <c r="E142" s="272" t="n"/>
      <c r="F142" s="272" t="n"/>
      <c r="G142" s="272" t="n"/>
      <c r="H142" s="272" t="n"/>
      <c r="I142" s="272" t="n"/>
      <c r="J142" s="272" t="n"/>
      <c r="K142" s="272" t="n"/>
      <c r="L142" s="272" t="n"/>
      <c r="M142" s="261" t="n"/>
      <c r="N142" s="272" t="n"/>
      <c r="O142" s="272" t="n"/>
      <c r="P142" s="272" t="n"/>
      <c r="Q142" s="272" t="n"/>
      <c r="R142" s="272" t="n"/>
      <c r="S142" s="272" t="n"/>
      <c r="T142" s="272" t="n"/>
      <c r="U142" s="272" t="n"/>
      <c r="V142" s="261" t="n"/>
      <c r="W142" s="261" t="n"/>
      <c r="X142" s="261" t="n"/>
      <c r="Y142" s="261" t="n"/>
    </row>
    <row r="143" ht="15" customHeight="1" s="74">
      <c r="A143" s="234" t="inlineStr">
        <is>
          <t>─ Quarterly Margins ─</t>
        </is>
      </c>
      <c r="B143" s="10" t="n"/>
      <c r="C143" s="10" t="n"/>
      <c r="D143" s="10" t="n"/>
      <c r="E143" s="10" t="n"/>
      <c r="F143" s="10" t="n"/>
      <c r="G143" s="10" t="n"/>
      <c r="H143" s="10" t="n"/>
      <c r="I143" s="10" t="n"/>
      <c r="J143" s="10" t="n"/>
      <c r="K143" s="10" t="n"/>
      <c r="L143" s="10" t="n"/>
      <c r="N143" s="10" t="n"/>
      <c r="O143" s="10" t="n"/>
      <c r="P143" s="10" t="n"/>
      <c r="Q143" s="10" t="n"/>
      <c r="R143" s="10" t="n"/>
      <c r="S143" s="10" t="n"/>
      <c r="T143" s="10" t="n"/>
      <c r="U143" s="10" t="n"/>
    </row>
    <row r="144" ht="15" customHeight="1" s="74">
      <c r="A144" s="259" t="inlineStr">
        <is>
          <t>Gross Margin (Q)</t>
        </is>
      </c>
      <c r="B144" s="312" t="n"/>
      <c r="C144" s="312" t="n"/>
      <c r="D144" s="312" t="n"/>
      <c r="E144" s="312" t="n"/>
      <c r="F144" s="312" t="n"/>
      <c r="G144" s="312" t="n"/>
      <c r="H144" s="312" t="n"/>
      <c r="I144" s="312" t="n"/>
      <c r="J144" s="312" t="n"/>
      <c r="K144" s="312" t="n"/>
      <c r="L144" s="312" t="n"/>
      <c r="M144" s="261" t="n"/>
      <c r="N144" s="274">
        <f>IFERROR(IF(OR(NOT(ISNUMBER(Data!N16)),NOT(ISNUMBER(Data!N14))),"-",Data!N16/Data!N14),"-")</f>
        <v/>
      </c>
      <c r="O144" s="274">
        <f>IFERROR(IF(OR(NOT(ISNUMBER(Data!O16)),NOT(ISNUMBER(Data!O14))),"-",Data!O16/Data!O14),"-")</f>
        <v/>
      </c>
      <c r="P144" s="274">
        <f>IFERROR(IF(OR(NOT(ISNUMBER(Data!P16)),NOT(ISNUMBER(Data!P14))),"-",Data!P16/Data!P14),"-")</f>
        <v/>
      </c>
      <c r="Q144" s="274">
        <f>IFERROR(IF(OR(NOT(ISNUMBER(Data!Q16)),NOT(ISNUMBER(Data!Q14))),"-",Data!Q16/Data!Q14),"-")</f>
        <v/>
      </c>
      <c r="R144" s="274">
        <f>IFERROR(IF(OR(NOT(ISNUMBER(Data!R16)),NOT(ISNUMBER(Data!R14))),"-",Data!R16/Data!R14),"-")</f>
        <v/>
      </c>
      <c r="S144" s="274">
        <f>IFERROR(IF(OR(NOT(ISNUMBER(Data!S16)),NOT(ISNUMBER(Data!S14))),"-",Data!S16/Data!S14),"-")</f>
        <v/>
      </c>
      <c r="T144" s="274">
        <f>IFERROR(IF(OR(NOT(ISNUMBER(Data!T16)),NOT(ISNUMBER(Data!T14))),"-",Data!T16/Data!T14),"-")</f>
        <v/>
      </c>
      <c r="U144" s="274">
        <f>IFERROR(IF(OR(NOT(ISNUMBER(Data!U16)),NOT(ISNUMBER(Data!U14))),"-",Data!U16/Data!U14),"-")</f>
        <v/>
      </c>
      <c r="V144" s="274">
        <f>IFERROR(IF(OR(NOT(ISNUMBER(Data!V16)),NOT(ISNUMBER(Data!V14))),"-",Data!V16/Data!V14),"-")</f>
        <v/>
      </c>
      <c r="W144" s="274">
        <f>IFERROR(IF(OR(NOT(ISNUMBER(Data!W16)),NOT(ISNUMBER(Data!W14))),"-",Data!W16/Data!W14),"-")</f>
        <v/>
      </c>
      <c r="X144" s="467">
        <f>IFERROR(IF(OR(NOT(ISNUMBER(Data!X16)),NOT(ISNUMBER(Data!X14))),"-",Data!X16/Data!X14),"-")</f>
        <v/>
      </c>
      <c r="Y144" s="467">
        <f>IFERROR(IF(OR(NOT(ISNUMBER(Data!Y16)),NOT(ISNUMBER(Data!Y14))),"-",Data!Y16/Data!Y14),"-")</f>
        <v/>
      </c>
    </row>
    <row r="145" ht="15" customHeight="1" s="74">
      <c r="A145" s="263" t="inlineStr">
        <is>
          <t>EBITDA Margin (Q)</t>
        </is>
      </c>
      <c r="B145" s="312" t="n"/>
      <c r="C145" s="312" t="n"/>
      <c r="D145" s="312" t="n"/>
      <c r="E145" s="312" t="n"/>
      <c r="F145" s="312" t="n"/>
      <c r="G145" s="312" t="n"/>
      <c r="H145" s="312" t="n"/>
      <c r="I145" s="312" t="n"/>
      <c r="J145" s="312" t="n"/>
      <c r="K145" s="312" t="n"/>
      <c r="L145" s="312" t="n"/>
      <c r="M145" s="261" t="n"/>
      <c r="N145" s="277">
        <f>IFERROR(IF(OR(NOT(ISNUMBER(Data!N20)),NOT(ISNUMBER(Data!N14))),"-",Data!N20/Data!N14),"-")</f>
        <v/>
      </c>
      <c r="O145" s="277">
        <f>IFERROR(IF(OR(NOT(ISNUMBER(Data!O20)),NOT(ISNUMBER(Data!O14))),"-",Data!O20/Data!O14),"-")</f>
        <v/>
      </c>
      <c r="P145" s="277">
        <f>IFERROR(IF(OR(NOT(ISNUMBER(Data!P20)),NOT(ISNUMBER(Data!P14))),"-",Data!P20/Data!P14),"-")</f>
        <v/>
      </c>
      <c r="Q145" s="277">
        <f>IFERROR(IF(OR(NOT(ISNUMBER(Data!Q20)),NOT(ISNUMBER(Data!Q14))),"-",Data!Q20/Data!Q14),"-")</f>
        <v/>
      </c>
      <c r="R145" s="277">
        <f>IFERROR(IF(OR(NOT(ISNUMBER(Data!R20)),NOT(ISNUMBER(Data!R14))),"-",Data!R20/Data!R14),"-")</f>
        <v/>
      </c>
      <c r="S145" s="277">
        <f>IFERROR(IF(OR(NOT(ISNUMBER(Data!S20)),NOT(ISNUMBER(Data!S14))),"-",Data!S20/Data!S14),"-")</f>
        <v/>
      </c>
      <c r="T145" s="277">
        <f>IFERROR(IF(OR(NOT(ISNUMBER(Data!T20)),NOT(ISNUMBER(Data!T14))),"-",Data!T20/Data!T14),"-")</f>
        <v/>
      </c>
      <c r="U145" s="277">
        <f>IFERROR(IF(OR(NOT(ISNUMBER(Data!U20)),NOT(ISNUMBER(Data!U14))),"-",Data!U20/Data!U14),"-")</f>
        <v/>
      </c>
      <c r="V145" s="276">
        <f>IFERROR(IF(OR(NOT(ISNUMBER(Data!V20)),NOT(ISNUMBER(Data!V14))),"-",Data!V20/Data!V14),"-")</f>
        <v/>
      </c>
      <c r="W145" s="276">
        <f>IFERROR(IF(OR(NOT(ISNUMBER(Data!W20)),NOT(ISNUMBER(Data!W14))),"-",Data!W20/Data!W14),"-")</f>
        <v/>
      </c>
      <c r="X145" s="467">
        <f>IFERROR(IF(OR(NOT(ISNUMBER(Data!X20)),NOT(ISNUMBER(Data!X14))),"-",Data!X20/Data!X14),"-")</f>
        <v/>
      </c>
      <c r="Y145" s="467">
        <f>IFERROR(IF(OR(NOT(ISNUMBER(Data!Y20)),NOT(ISNUMBER(Data!Y14))),"-",Data!Y20/Data!Y14),"-")</f>
        <v/>
      </c>
    </row>
    <row r="146" ht="15" customHeight="1" s="74">
      <c r="A146" s="259" t="inlineStr">
        <is>
          <t>Operating Margin (Q)</t>
        </is>
      </c>
      <c r="B146" s="312" t="n"/>
      <c r="C146" s="312" t="n"/>
      <c r="D146" s="312" t="n"/>
      <c r="E146" s="312" t="n"/>
      <c r="F146" s="312" t="n"/>
      <c r="G146" s="312" t="n"/>
      <c r="H146" s="312" t="n"/>
      <c r="I146" s="312" t="n"/>
      <c r="J146" s="312" t="n"/>
      <c r="K146" s="312" t="n"/>
      <c r="L146" s="312" t="n"/>
      <c r="M146" s="261" t="n"/>
      <c r="N146" s="275">
        <f>IFERROR(IF(OR(NOT(ISNUMBER(Data!N22)),NOT(ISNUMBER(Data!N14))),"-",Data!N22/Data!N14),"-")</f>
        <v/>
      </c>
      <c r="O146" s="275">
        <f>IFERROR(IF(OR(NOT(ISNUMBER(Data!O22)),NOT(ISNUMBER(Data!O14))),"-",Data!O22/Data!O14),"-")</f>
        <v/>
      </c>
      <c r="P146" s="275">
        <f>IFERROR(IF(OR(NOT(ISNUMBER(Data!P22)),NOT(ISNUMBER(Data!P14))),"-",Data!P22/Data!P14),"-")</f>
        <v/>
      </c>
      <c r="Q146" s="275">
        <f>IFERROR(IF(OR(NOT(ISNUMBER(Data!Q22)),NOT(ISNUMBER(Data!Q14))),"-",Data!Q22/Data!Q14),"-")</f>
        <v/>
      </c>
      <c r="R146" s="275">
        <f>IFERROR(IF(OR(NOT(ISNUMBER(Data!R22)),NOT(ISNUMBER(Data!R14))),"-",Data!R22/Data!R14),"-")</f>
        <v/>
      </c>
      <c r="S146" s="275">
        <f>IFERROR(IF(OR(NOT(ISNUMBER(Data!S22)),NOT(ISNUMBER(Data!S14))),"-",Data!S22/Data!S14),"-")</f>
        <v/>
      </c>
      <c r="T146" s="275">
        <f>IFERROR(IF(OR(NOT(ISNUMBER(Data!T22)),NOT(ISNUMBER(Data!T14))),"-",Data!T22/Data!T14),"-")</f>
        <v/>
      </c>
      <c r="U146" s="275">
        <f>IFERROR(IF(OR(NOT(ISNUMBER(Data!U22)),NOT(ISNUMBER(Data!U14))),"-",Data!U22/Data!U14),"-")</f>
        <v/>
      </c>
      <c r="V146" s="274">
        <f>IFERROR(IF(OR(NOT(ISNUMBER(Data!V22)),NOT(ISNUMBER(Data!V14))),"-",Data!V22/Data!V14),"-")</f>
        <v/>
      </c>
      <c r="W146" s="274">
        <f>IFERROR(IF(OR(NOT(ISNUMBER(Data!W22)),NOT(ISNUMBER(Data!W14))),"-",Data!W22/Data!W14),"-")</f>
        <v/>
      </c>
      <c r="X146" s="467">
        <f>IFERROR(IF(OR(NOT(ISNUMBER(Data!X22)),NOT(ISNUMBER(Data!X14))),"-",Data!X22/Data!X14),"-")</f>
        <v/>
      </c>
      <c r="Y146" s="467">
        <f>IFERROR(IF(OR(NOT(ISNUMBER(Data!Y22)),NOT(ISNUMBER(Data!Y14))),"-",Data!Y22/Data!Y14),"-")</f>
        <v/>
      </c>
    </row>
    <row r="147" ht="15" customHeight="1" s="74">
      <c r="A147" s="263" t="inlineStr">
        <is>
          <t>Net Margin (Q)</t>
        </is>
      </c>
      <c r="B147" s="312" t="n"/>
      <c r="C147" s="312" t="n"/>
      <c r="D147" s="312" t="n"/>
      <c r="E147" s="312" t="n"/>
      <c r="F147" s="312" t="n"/>
      <c r="G147" s="312" t="n"/>
      <c r="H147" s="312" t="n"/>
      <c r="I147" s="312" t="n"/>
      <c r="J147" s="312" t="n"/>
      <c r="K147" s="312" t="n"/>
      <c r="L147" s="312" t="n"/>
      <c r="M147" s="261" t="n"/>
      <c r="N147" s="277">
        <f>IFERROR(IF(OR(NOT(ISNUMBER(Data!N26)),NOT(ISNUMBER(Data!N14))),"-",Data!N26/Data!N14),"-")</f>
        <v/>
      </c>
      <c r="O147" s="277">
        <f>IFERROR(IF(OR(NOT(ISNUMBER(Data!O26)),NOT(ISNUMBER(Data!O14))),"-",Data!O26/Data!O14),"-")</f>
        <v/>
      </c>
      <c r="P147" s="277">
        <f>IFERROR(IF(OR(NOT(ISNUMBER(Data!P26)),NOT(ISNUMBER(Data!P14))),"-",Data!P26/Data!P14),"-")</f>
        <v/>
      </c>
      <c r="Q147" s="277">
        <f>IFERROR(IF(OR(NOT(ISNUMBER(Data!Q26)),NOT(ISNUMBER(Data!Q14))),"-",Data!Q26/Data!Q14),"-")</f>
        <v/>
      </c>
      <c r="R147" s="277">
        <f>IFERROR(IF(OR(NOT(ISNUMBER(Data!R26)),NOT(ISNUMBER(Data!R14))),"-",Data!R26/Data!R14),"-")</f>
        <v/>
      </c>
      <c r="S147" s="277">
        <f>IFERROR(IF(OR(NOT(ISNUMBER(Data!S26)),NOT(ISNUMBER(Data!S14))),"-",Data!S26/Data!S14),"-")</f>
        <v/>
      </c>
      <c r="T147" s="277">
        <f>IFERROR(IF(OR(NOT(ISNUMBER(Data!T26)),NOT(ISNUMBER(Data!T14))),"-",Data!T26/Data!T14),"-")</f>
        <v/>
      </c>
      <c r="U147" s="277">
        <f>IFERROR(IF(OR(NOT(ISNUMBER(Data!U26)),NOT(ISNUMBER(Data!U14))),"-",Data!U26/Data!U14),"-")</f>
        <v/>
      </c>
      <c r="V147" s="276">
        <f>IFERROR(IF(OR(NOT(ISNUMBER(Data!V26)),NOT(ISNUMBER(Data!V14))),"-",Data!V26/Data!V14),"-")</f>
        <v/>
      </c>
      <c r="W147" s="276">
        <f>IFERROR(IF(OR(NOT(ISNUMBER(Data!W26)),NOT(ISNUMBER(Data!W14))),"-",Data!W26/Data!W14),"-")</f>
        <v/>
      </c>
      <c r="X147" s="467">
        <f>IFERROR(IF(OR(NOT(ISNUMBER(Data!X26)),NOT(ISNUMBER(Data!X14))),"-",Data!X26/Data!X14),"-")</f>
        <v/>
      </c>
      <c r="Y147" s="467">
        <f>IFERROR(IF(OR(NOT(ISNUMBER(Data!Y26)),NOT(ISNUMBER(Data!Y14))),"-",Data!Y26/Data!Y14),"-")</f>
        <v/>
      </c>
    </row>
    <row r="148" ht="15" customHeight="1" s="74">
      <c r="A148" s="259" t="inlineStr">
        <is>
          <t>FCF Margin (Q)</t>
        </is>
      </c>
      <c r="B148" s="312" t="n"/>
      <c r="C148" s="312" t="n"/>
      <c r="D148" s="312" t="n"/>
      <c r="E148" s="312" t="n"/>
      <c r="F148" s="312" t="n"/>
      <c r="G148" s="312" t="n"/>
      <c r="H148" s="312" t="n"/>
      <c r="I148" s="312" t="n"/>
      <c r="J148" s="312" t="n"/>
      <c r="K148" s="312" t="n"/>
      <c r="L148" s="312" t="n"/>
      <c r="M148" s="261" t="n"/>
      <c r="N148" s="275">
        <f>IFERROR(IF(OR(NOT(ISNUMBER(Data!N53)),NOT(ISNUMBER(Data!N14))),"-",Data!N53/Data!N14),"-")</f>
        <v/>
      </c>
      <c r="O148" s="275">
        <f>IFERROR(IF(OR(NOT(ISNUMBER(Data!O53)),NOT(ISNUMBER(Data!O14))),"-",Data!O53/Data!O14),"-")</f>
        <v/>
      </c>
      <c r="P148" s="275">
        <f>IFERROR(IF(OR(NOT(ISNUMBER(Data!P53)),NOT(ISNUMBER(Data!P14))),"-",Data!P53/Data!P14),"-")</f>
        <v/>
      </c>
      <c r="Q148" s="275">
        <f>IFERROR(IF(OR(NOT(ISNUMBER(Data!Q53)),NOT(ISNUMBER(Data!Q14))),"-",Data!Q53/Data!Q14),"-")</f>
        <v/>
      </c>
      <c r="R148" s="275">
        <f>IFERROR(IF(OR(NOT(ISNUMBER(Data!R53)),NOT(ISNUMBER(Data!R14))),"-",Data!R53/Data!R14),"-")</f>
        <v/>
      </c>
      <c r="S148" s="275">
        <f>IFERROR(IF(OR(NOT(ISNUMBER(Data!S53)),NOT(ISNUMBER(Data!S14))),"-",Data!S53/Data!S14),"-")</f>
        <v/>
      </c>
      <c r="T148" s="275">
        <f>IFERROR(IF(OR(NOT(ISNUMBER(Data!T53)),NOT(ISNUMBER(Data!T14))),"-",Data!T53/Data!T14),"-")</f>
        <v/>
      </c>
      <c r="U148" s="275">
        <f>IFERROR(IF(OR(NOT(ISNUMBER(Data!U53)),NOT(ISNUMBER(Data!U14))),"-",Data!U53/Data!U14),"-")</f>
        <v/>
      </c>
      <c r="V148" s="274">
        <f>IFERROR(IF(OR(NOT(ISNUMBER(Data!V53)),NOT(ISNUMBER(Data!V14))),"-",Data!V53/Data!V14),"-")</f>
        <v/>
      </c>
      <c r="W148" s="274">
        <f>IFERROR(IF(OR(NOT(ISNUMBER(Data!W53)),NOT(ISNUMBER(Data!W14))),"-",Data!W53/Data!W14),"-")</f>
        <v/>
      </c>
      <c r="X148" s="467">
        <f>IFERROR(IF(OR(NOT(ISNUMBER(Data!X53)),NOT(ISNUMBER(Data!X14))),"-",Data!X53/Data!X14),"-")</f>
        <v/>
      </c>
      <c r="Y148" s="467">
        <f>IFERROR(IF(OR(NOT(ISNUMBER(Data!Y53)),NOT(ISNUMBER(Data!Y14))),"-",Data!Y53/Data!Y14),"-")</f>
        <v/>
      </c>
    </row>
    <row r="149" ht="15" customHeight="1" s="74">
      <c r="A149" s="272" t="n"/>
      <c r="B149" s="272" t="n"/>
      <c r="C149" s="272" t="n"/>
      <c r="D149" s="272" t="n"/>
      <c r="E149" s="272" t="n"/>
      <c r="F149" s="272" t="n"/>
      <c r="G149" s="272" t="n"/>
      <c r="H149" s="272" t="n"/>
      <c r="I149" s="272" t="n"/>
      <c r="J149" s="272" t="n"/>
      <c r="K149" s="272" t="n"/>
      <c r="L149" s="272" t="n"/>
      <c r="M149" s="261" t="n"/>
      <c r="N149" s="272" t="n"/>
      <c r="O149" s="272" t="n"/>
      <c r="P149" s="272" t="n"/>
      <c r="Q149" s="272" t="n"/>
      <c r="R149" s="272" t="n"/>
      <c r="S149" s="272" t="n"/>
      <c r="T149" s="272" t="n"/>
      <c r="U149" s="272" t="n"/>
      <c r="V149" s="261" t="n"/>
      <c r="W149" s="261" t="n"/>
      <c r="X149" s="261" t="n"/>
      <c r="Y149" s="261" t="n"/>
    </row>
    <row r="150" ht="15" customHeight="1" s="74">
      <c r="A150" s="2" t="n"/>
      <c r="B150" s="2" t="n"/>
      <c r="C150" s="2" t="n"/>
      <c r="D150" s="2" t="n"/>
      <c r="E150" s="2" t="n"/>
      <c r="F150" s="2" t="n"/>
      <c r="G150" s="2" t="n"/>
      <c r="H150" s="2" t="n"/>
      <c r="I150" s="2" t="n"/>
      <c r="J150" s="2" t="n"/>
      <c r="K150" s="2" t="n"/>
      <c r="L150" s="2" t="n"/>
      <c r="N150" s="2" t="n"/>
      <c r="O150" s="2" t="n"/>
      <c r="P150" s="2" t="n"/>
      <c r="Q150" s="2" t="n"/>
      <c r="R150" s="2" t="n"/>
      <c r="S150" s="2" t="n"/>
      <c r="T150" s="2" t="n"/>
      <c r="U150" s="2" t="n"/>
    </row>
    <row r="151" ht="19" customHeight="1" s="74">
      <c r="A151" s="226" t="inlineStr">
        <is>
          <t>COMPOUND ANNUAL GROWTH RATES (CAGR)</t>
        </is>
      </c>
    </row>
    <row r="152" ht="15" customHeight="1" s="74">
      <c r="A152" s="38" t="inlineStr">
        <is>
          <t>Metric</t>
        </is>
      </c>
      <c r="B152" s="38" t="n"/>
      <c r="C152" s="38" t="n"/>
      <c r="D152" s="38" t="n"/>
      <c r="E152" s="2" t="n"/>
      <c r="F152" s="2" t="n"/>
      <c r="G152" s="2" t="n"/>
      <c r="H152" s="2" t="n"/>
      <c r="I152" s="2" t="n"/>
      <c r="J152" s="2" t="n"/>
      <c r="K152" s="2" t="n"/>
      <c r="L152" s="2" t="n"/>
      <c r="N152" s="2" t="n"/>
      <c r="O152" s="2" t="n"/>
      <c r="P152" s="2" t="n"/>
      <c r="Q152" s="2" t="n"/>
      <c r="R152" s="2" t="n"/>
      <c r="S152" s="2" t="n"/>
      <c r="T152" s="2" t="n"/>
      <c r="U152" s="2" t="n"/>
    </row>
    <row r="153" ht="15" customHeight="1" s="74">
      <c r="A153" s="15" t="inlineStr">
        <is>
          <t>Revenue</t>
        </is>
      </c>
      <c r="B153" s="84">
        <f>IFERROR(IF(OR(NOT(ISNUMBER(Data!L14)),NOT(ISNUMBER(Data!I14)),Data!I14&lt;=0),"-",(Data!L14/Data!I14)^(1/3)-1),"-")</f>
        <v/>
      </c>
      <c r="C153" s="84">
        <f>IFERROR(IF(OR(NOT(ISNUMBER(Data!L14)),NOT(ISNUMBER(Data!G14)),Data!G14&lt;=0),"-",(Data!L14/Data!G14)^(1/5)-1),"-")</f>
        <v/>
      </c>
      <c r="D153" s="84">
        <f>IFERROR(IF(OR(NOT(ISNUMBER(Data!L14)),NOT(ISNUMBER(Data!B14)),Data!B14&lt;=0,Data!L14&lt;0),"-",(Data!L14/Data!B14)^(1/10)-1),"-")</f>
        <v/>
      </c>
      <c r="E153" s="10" t="n"/>
      <c r="F153" s="10" t="n"/>
      <c r="G153" s="10" t="n"/>
      <c r="H153" s="10" t="n"/>
      <c r="I153" s="10" t="n"/>
      <c r="J153" s="10" t="n"/>
      <c r="K153" s="10" t="n"/>
      <c r="L153" s="10" t="n"/>
      <c r="N153" s="10" t="n"/>
      <c r="O153" s="10" t="n"/>
      <c r="P153" s="10" t="n"/>
      <c r="Q153" s="10" t="n"/>
      <c r="R153" s="10" t="n"/>
      <c r="S153" s="10" t="n"/>
      <c r="T153" s="10" t="n"/>
      <c r="U153" s="10" t="n"/>
    </row>
    <row r="154" ht="15" customHeight="1" s="74">
      <c r="A154" s="17" t="inlineStr">
        <is>
          <t>EBITDA</t>
        </is>
      </c>
      <c r="B154" s="81">
        <f>IFERROR(IF(OR(NOT(ISNUMBER(Data!L20)),NOT(ISNUMBER(Data!I20)),Data!I20&lt;=0),"-",(Data!L20/Data!I20)^(1/3)-1),"-")</f>
        <v/>
      </c>
      <c r="C154" s="81">
        <f>IFERROR(IF(OR(NOT(ISNUMBER(Data!L20)),NOT(ISNUMBER(Data!G20)),Data!G20&lt;=0),"-",(Data!L20/Data!G20)^(1/5)-1),"-")</f>
        <v/>
      </c>
      <c r="D154" s="81">
        <f>IFERROR(IF(OR(NOT(ISNUMBER(Data!L20)),NOT(ISNUMBER(Data!B20)),Data!B20&lt;=0,Data!L20&lt;0),"-",(Data!L20/Data!B20)^(1/10)-1),"-")</f>
        <v/>
      </c>
      <c r="E154" s="2" t="n"/>
      <c r="F154" s="2" t="n"/>
      <c r="G154" s="2" t="n"/>
      <c r="H154" s="2" t="n"/>
      <c r="I154" s="2" t="n"/>
      <c r="J154" s="2" t="n"/>
      <c r="K154" s="2" t="n"/>
      <c r="L154" s="2" t="n"/>
      <c r="N154" s="2" t="n"/>
      <c r="O154" s="2" t="n"/>
      <c r="P154" s="2" t="n"/>
      <c r="Q154" s="2" t="n"/>
      <c r="R154" s="2" t="n"/>
      <c r="S154" s="2" t="n"/>
      <c r="T154" s="2" t="n"/>
      <c r="U154" s="2" t="n"/>
    </row>
    <row r="155" ht="15" customHeight="1" s="74">
      <c r="A155" s="15" t="inlineStr">
        <is>
          <t>Net Income</t>
        </is>
      </c>
      <c r="B155" s="84">
        <f>IFERROR(IF(OR(NOT(ISNUMBER(Data!L26)),NOT(ISNUMBER(Data!I26)),Data!I26&lt;=0),"-",(Data!L26/Data!I26)^(1/3)-1),"-")</f>
        <v/>
      </c>
      <c r="C155" s="84">
        <f>IFERROR(IF(OR(NOT(ISNUMBER(Data!L26)),NOT(ISNUMBER(Data!G26)),Data!G26&lt;=0),"-",(Data!L26/Data!G26)^(1/5)-1),"-")</f>
        <v/>
      </c>
      <c r="D155" s="84">
        <f>IFERROR(IF(OR(NOT(ISNUMBER(Data!L26)),NOT(ISNUMBER(Data!B26)),Data!B26&lt;=0,Data!L26&lt;0),"-",(Data!L26/Data!B26)^(1/10)-1),"-")</f>
        <v/>
      </c>
      <c r="E155" s="10" t="n"/>
      <c r="F155" s="10" t="n"/>
      <c r="G155" s="10" t="n"/>
      <c r="H155" s="10" t="n"/>
      <c r="I155" s="10" t="n"/>
      <c r="J155" s="10" t="n"/>
      <c r="K155" s="10" t="n"/>
      <c r="L155" s="10" t="n"/>
      <c r="N155" s="10" t="n"/>
      <c r="O155" s="10" t="n"/>
      <c r="P155" s="10" t="n"/>
      <c r="Q155" s="10" t="n"/>
      <c r="R155" s="10" t="n"/>
      <c r="S155" s="10" t="n"/>
      <c r="T155" s="10" t="n"/>
      <c r="U155" s="10" t="n"/>
    </row>
    <row r="156" ht="15" customHeight="1" s="74">
      <c r="A156" s="17" t="inlineStr">
        <is>
          <t>Diluted EPS</t>
        </is>
      </c>
      <c r="B156" s="81">
        <f>IFERROR(IF(OR(NOT(ISNUMBER(Data!L27)),NOT(ISNUMBER(Data!I27)),Data!I27&lt;=0),"-",(Data!L27/Data!I27)^(1/3)-1),"-")</f>
        <v/>
      </c>
      <c r="C156" s="81">
        <f>IFERROR(IF(OR(NOT(ISNUMBER(Data!L27)),NOT(ISNUMBER(Data!G27)),Data!G27&lt;=0),"-",(Data!L27/(Data!G27/20))^(1/5)-1),"-")</f>
        <v/>
      </c>
      <c r="D156" s="81">
        <f>IFERROR(IF(OR(NOT(ISNUMBER(Data!L27)),NOT(ISNUMBER(Data!B27)),Data!B27&lt;=0,Data!L27&lt;0),"-",(Data!L27/(Data!B27/20))^(1/10)-1),"-")</f>
        <v/>
      </c>
      <c r="E156" s="2" t="n"/>
      <c r="F156" s="2" t="n"/>
      <c r="G156" s="2" t="n"/>
      <c r="H156" s="2" t="n"/>
      <c r="I156" s="2" t="n"/>
      <c r="J156" s="2" t="n"/>
      <c r="K156" s="2" t="n"/>
      <c r="L156" s="2" t="n"/>
      <c r="N156" s="2" t="n"/>
      <c r="O156" s="2" t="n"/>
      <c r="P156" s="2" t="n"/>
      <c r="Q156" s="2" t="n"/>
      <c r="R156" s="2" t="n"/>
      <c r="S156" s="2" t="n"/>
      <c r="T156" s="2" t="n"/>
      <c r="U156" s="2" t="n"/>
    </row>
    <row r="157" ht="15" customHeight="1" s="74">
      <c r="A157" s="15" t="inlineStr">
        <is>
          <t>Free Cash Flow</t>
        </is>
      </c>
      <c r="B157" s="84">
        <f>IFERROR(IF(OR(NOT(ISNUMBER(Data!L53)),NOT(ISNUMBER(Data!I53)),Data!I53&lt;=0),"-",(Data!L53/Data!I53)^(1/3)-1),"-")</f>
        <v/>
      </c>
      <c r="C157" s="84">
        <f>IFERROR(IF(OR(NOT(ISNUMBER(Data!L53)),NOT(ISNUMBER(Data!G53)),Data!G53&lt;=0),"-",(Data!L53/Data!G53)^(1/5)-1),"-")</f>
        <v/>
      </c>
      <c r="D157" s="84">
        <f>IFERROR(IF(OR(NOT(ISNUMBER(Data!L53)),NOT(ISNUMBER(Data!B53)),Data!B53&lt;=0,Data!L53&lt;0),"-",(Data!L53/Data!B53)^(1/10)-1),"-")</f>
        <v/>
      </c>
      <c r="E157" s="10" t="n"/>
      <c r="F157" s="10" t="n"/>
      <c r="G157" s="10" t="n"/>
      <c r="H157" s="10" t="n"/>
      <c r="I157" s="10" t="n"/>
      <c r="J157" s="10" t="n"/>
      <c r="K157" s="10" t="n"/>
      <c r="L157" s="10" t="n"/>
      <c r="N157" s="10" t="n"/>
      <c r="O157" s="10" t="n"/>
      <c r="P157" s="10" t="n"/>
      <c r="Q157" s="10" t="n"/>
      <c r="R157" s="10" t="n"/>
      <c r="S157" s="10" t="n"/>
      <c r="T157" s="10" t="n"/>
      <c r="U157" s="10" t="n"/>
    </row>
    <row r="158" ht="15" customHeight="1" s="74">
      <c r="A158" s="17" t="inlineStr">
        <is>
          <t>Operating Cash Flow</t>
        </is>
      </c>
      <c r="B158" s="81">
        <f>IFERROR(IF(OR(NOT(ISNUMBER(Data!L51)),NOT(ISNUMBER(Data!I51)),Data!I51&lt;=0),"-",(Data!L51/Data!I51)^(1/3)-1),"-")</f>
        <v/>
      </c>
      <c r="C158" s="81">
        <f>IFERROR(IF(OR(NOT(ISNUMBER(Data!L51)),NOT(ISNUMBER(Data!G51)),Data!G51&lt;=0),"-",(Data!L51/Data!G51)^(1/5)-1),"-")</f>
        <v/>
      </c>
      <c r="D158" s="81">
        <f>IFERROR(IF(OR(NOT(ISNUMBER(Data!L51)),NOT(ISNUMBER(Data!B51)),Data!B51&lt;=0,Data!L51&lt;0),"-",(Data!L51/Data!B51)^(1/10)-1),"-")</f>
        <v/>
      </c>
      <c r="E158" s="2" t="n"/>
      <c r="F158" s="2" t="n"/>
      <c r="G158" s="2" t="n"/>
      <c r="H158" s="2" t="n"/>
      <c r="I158" s="2" t="n"/>
      <c r="J158" s="2" t="n"/>
      <c r="K158" s="2" t="n"/>
      <c r="L158" s="2" t="n"/>
      <c r="N158" s="2" t="n"/>
      <c r="O158" s="2" t="n"/>
      <c r="P158" s="2" t="n"/>
      <c r="Q158" s="2" t="n"/>
      <c r="R158" s="2" t="n"/>
      <c r="S158" s="2" t="n"/>
      <c r="T158" s="2" t="n"/>
      <c r="U158" s="2" t="n"/>
    </row>
    <row r="159" ht="15" customHeight="1" s="74">
      <c r="A159" s="15" t="inlineStr">
        <is>
          <t>Dividends / Share</t>
        </is>
      </c>
      <c r="B159" s="84">
        <f>IFERROR(IF(OR(NOT(ISNUMBER(Data!L55)),NOT(ISNUMBER(Data!L28)),NOT(ISNUMBER(Data!I55)),NOT(ISNUMBER(Data!I28))),"-",((ABS(Data!L55)/Data!L28)/(ABS(Data!I55)/Data!I28))^(1/3)-1),"-")</f>
        <v/>
      </c>
      <c r="C159" s="84">
        <f>IFERROR(IF(OR(NOT(ISNUMBER(Data!L55)),NOT(ISNUMBER(Data!L28)),NOT(ISNUMBER(Data!G55)),NOT(ISNUMBER(Data!G28))),"-",((ABS(Data!L55)/Data!L28)/(ABS(Data!G55)/(Data!G28*20)))^(1/5)-1),"-")</f>
        <v/>
      </c>
      <c r="D159" s="84">
        <f>IFERROR(IF(OR(NOT(ISNUMBER(Data!L55)),NOT(ISNUMBER(Data!L28)),NOT(ISNUMBER(Data!B55)),NOT(ISNUMBER(Data!B28))),"-",((ABS(Data!L55)/Data!L28)/(ABS(Data!B55)/(Data!B28*20)))^(1/10)-1),"-")</f>
        <v/>
      </c>
      <c r="E159" s="10" t="n"/>
      <c r="F159" s="10" t="n"/>
      <c r="G159" s="10" t="n"/>
      <c r="H159" s="10" t="n"/>
      <c r="I159" s="10" t="n"/>
      <c r="J159" s="10" t="n"/>
      <c r="K159" s="10" t="n"/>
      <c r="L159" s="10" t="n"/>
      <c r="N159" s="10" t="n"/>
      <c r="O159" s="10" t="n"/>
      <c r="P159" s="10" t="n"/>
      <c r="Q159" s="10" t="n"/>
      <c r="R159" s="10" t="n"/>
      <c r="S159" s="10" t="n"/>
      <c r="T159" s="10" t="n"/>
      <c r="U159" s="10" t="n"/>
    </row>
    <row r="160" ht="15" customHeight="1" s="74">
      <c r="A160" s="15" t="inlineStr">
        <is>
          <t>Shares Outstanding</t>
        </is>
      </c>
      <c r="B160" s="84">
        <f>IFERROR(IF(OR(NOT(ISNUMBER(Data!L28)),NOT(ISNUMBER(Data!I28)),Data!I28&lt;=0),"-",(Data!L28/Data!I28)^(1/3)-1),"-")</f>
        <v/>
      </c>
      <c r="C160" s="84">
        <f>IFERROR(IF(OR(NOT(ISNUMBER(Data!L28)),NOT(ISNUMBER(Data!G28)),Data!G28&lt;=0),"-",(Data!L28/(Data!G28*20))^(1/5)-1),"-")</f>
        <v/>
      </c>
      <c r="D160" s="84">
        <f>IFERROR(IF(OR(NOT(ISNUMBER(Data!L28)),NOT(ISNUMBER(Data!B28)),Data!B28&lt;=0,Data!L28&lt;0),"-",(Data!L28/(Data!B28*20))^(1/10)-1),"-")</f>
        <v/>
      </c>
      <c r="E160" s="10" t="n"/>
      <c r="F160" s="10" t="n"/>
      <c r="G160" s="10" t="n"/>
      <c r="H160" s="10" t="n"/>
      <c r="I160" s="10" t="n"/>
      <c r="J160" s="10" t="n"/>
      <c r="K160" s="10" t="n"/>
      <c r="L160" s="10" t="n"/>
      <c r="N160" s="10" t="n"/>
      <c r="O160" s="10" t="n"/>
      <c r="P160" s="10" t="n"/>
      <c r="Q160" s="10" t="n"/>
      <c r="R160" s="10" t="n"/>
      <c r="S160" s="10" t="n"/>
      <c r="T160" s="10" t="n"/>
      <c r="U160" s="10" t="n"/>
    </row>
    <row r="161" ht="15" customHeight="1" s="74">
      <c r="A161" s="2" t="n"/>
      <c r="B161" s="2" t="n"/>
      <c r="C161" s="2" t="n"/>
      <c r="D161" s="2" t="n"/>
      <c r="E161" s="2" t="n"/>
      <c r="F161" s="2" t="n"/>
      <c r="G161" s="2" t="n"/>
      <c r="H161" s="2" t="n"/>
      <c r="I161" s="2" t="n"/>
      <c r="J161" s="2" t="n"/>
      <c r="K161" s="2" t="n"/>
      <c r="L161" s="2" t="n"/>
      <c r="N161" s="2" t="n"/>
      <c r="O161" s="2" t="n"/>
      <c r="P161" s="2" t="n"/>
      <c r="Q161" s="2" t="n"/>
      <c r="R161" s="2" t="n"/>
      <c r="S161" s="2" t="n"/>
      <c r="T161" s="2" t="n"/>
      <c r="U161" s="2" t="n"/>
    </row>
    <row r="162" ht="15" customHeight="1" s="74">
      <c r="A162" s="2" t="n"/>
      <c r="B162" s="2" t="n"/>
      <c r="C162" s="2" t="n"/>
      <c r="D162" s="2" t="n"/>
      <c r="E162" s="2" t="n"/>
      <c r="F162" s="2" t="n"/>
      <c r="G162" s="2" t="n"/>
      <c r="H162" s="2" t="n"/>
      <c r="I162" s="2" t="n"/>
      <c r="J162" s="2" t="n"/>
      <c r="K162" s="2" t="n"/>
      <c r="L162" s="2" t="n"/>
      <c r="N162" s="2" t="n"/>
      <c r="O162" s="2" t="n"/>
      <c r="P162" s="2" t="n"/>
      <c r="Q162" s="2" t="n"/>
      <c r="R162" s="2" t="n"/>
      <c r="S162" s="2" t="n"/>
      <c r="T162" s="2" t="n"/>
      <c r="U162" s="2" t="n"/>
    </row>
    <row r="163" ht="15" customHeight="1" s="74">
      <c r="A163" s="2" t="n"/>
      <c r="B163" s="2" t="n"/>
      <c r="C163" s="2" t="n"/>
      <c r="D163" s="2" t="n"/>
      <c r="E163" s="2" t="n"/>
      <c r="F163" s="2" t="n"/>
      <c r="G163" s="2" t="n"/>
      <c r="H163" s="2" t="n"/>
      <c r="I163" s="2" t="n"/>
      <c r="J163" s="2" t="n"/>
      <c r="K163" s="2" t="n"/>
      <c r="L163" s="2" t="n"/>
      <c r="N163" s="2" t="n"/>
      <c r="O163" s="2" t="n"/>
      <c r="P163" s="2" t="n"/>
      <c r="Q163" s="2" t="n"/>
      <c r="R163" s="2" t="n"/>
      <c r="S163" s="2" t="n"/>
      <c r="T163" s="2" t="n"/>
      <c r="U163" s="2" t="n"/>
    </row>
    <row r="164" ht="15" customHeight="1" s="74">
      <c r="A164" s="2" t="n"/>
      <c r="B164" s="2" t="n"/>
      <c r="C164" s="2" t="n"/>
      <c r="D164" s="2" t="n"/>
      <c r="E164" s="2" t="n"/>
      <c r="F164" s="2" t="n"/>
      <c r="G164" s="2" t="n"/>
      <c r="H164" s="2" t="n"/>
      <c r="I164" s="2" t="n"/>
      <c r="J164" s="2" t="n"/>
      <c r="K164" s="2" t="n"/>
      <c r="L164" s="2" t="n"/>
      <c r="N164" s="2" t="n"/>
      <c r="O164" s="2" t="n"/>
      <c r="P164" s="2" t="n"/>
      <c r="Q164" s="2" t="n"/>
      <c r="R164" s="2" t="n"/>
      <c r="S164" s="2" t="n"/>
      <c r="T164" s="2" t="n"/>
      <c r="U164" s="2" t="n"/>
    </row>
    <row r="165" ht="15" customHeight="1" s="74">
      <c r="A165" s="2" t="n"/>
      <c r="B165" s="2" t="n"/>
      <c r="C165" s="2" t="n"/>
      <c r="D165" s="2" t="n"/>
      <c r="E165" s="2" t="n"/>
      <c r="F165" s="2" t="n"/>
      <c r="G165" s="2" t="n"/>
      <c r="H165" s="2" t="n"/>
      <c r="I165" s="2" t="n"/>
      <c r="J165" s="2" t="n"/>
      <c r="K165" s="2" t="n"/>
      <c r="L165" s="2" t="n"/>
      <c r="N165" s="2" t="n"/>
      <c r="O165" s="2" t="n"/>
      <c r="P165" s="2" t="n"/>
      <c r="Q165" s="2" t="n"/>
      <c r="R165" s="2" t="n"/>
      <c r="S165" s="2" t="n"/>
      <c r="T165" s="2" t="n"/>
      <c r="U165" s="2" t="n"/>
    </row>
    <row r="166" ht="15" customHeight="1" s="74">
      <c r="A166" s="2" t="n"/>
      <c r="B166" s="2" t="n"/>
      <c r="C166" s="2" t="n"/>
      <c r="D166" s="2" t="n"/>
      <c r="E166" s="2" t="n"/>
      <c r="F166" s="2" t="n"/>
      <c r="G166" s="2" t="n"/>
      <c r="H166" s="2" t="n"/>
      <c r="I166" s="2" t="n"/>
      <c r="J166" s="2" t="n"/>
      <c r="K166" s="2" t="n"/>
      <c r="L166" s="2" t="n"/>
      <c r="N166" s="2" t="n"/>
      <c r="O166" s="2" t="n"/>
      <c r="P166" s="2" t="n"/>
      <c r="Q166" s="2" t="n"/>
      <c r="R166" s="2" t="n"/>
      <c r="S166" s="2" t="n"/>
      <c r="T166" s="2" t="n"/>
      <c r="U166" s="2" t="n"/>
    </row>
    <row r="167" ht="15" customHeight="1" s="74">
      <c r="A167" s="2" t="n"/>
      <c r="B167" s="2" t="n"/>
      <c r="C167" s="2" t="n"/>
      <c r="D167" s="2" t="n"/>
      <c r="E167" s="2" t="n"/>
      <c r="F167" s="2" t="n"/>
      <c r="G167" s="2" t="n"/>
      <c r="H167" s="2" t="n"/>
      <c r="I167" s="2" t="n"/>
      <c r="J167" s="2" t="n"/>
      <c r="K167" s="2" t="n"/>
      <c r="L167" s="2" t="n"/>
      <c r="N167" s="2" t="n"/>
      <c r="O167" s="2" t="n"/>
      <c r="P167" s="2" t="n"/>
      <c r="Q167" s="2" t="n"/>
      <c r="R167" s="2" t="n"/>
      <c r="S167" s="2" t="n"/>
      <c r="T167" s="2" t="n"/>
      <c r="U167" s="2" t="n"/>
    </row>
    <row r="168" ht="15" customHeight="1" s="74">
      <c r="A168" s="2" t="n"/>
      <c r="B168" s="2" t="n"/>
      <c r="C168" s="2" t="n"/>
      <c r="D168" s="2" t="n"/>
      <c r="E168" s="2" t="n"/>
      <c r="F168" s="2" t="n"/>
      <c r="G168" s="2" t="n"/>
      <c r="H168" s="2" t="n"/>
      <c r="I168" s="2" t="n"/>
      <c r="J168" s="2" t="n"/>
      <c r="K168" s="2" t="n"/>
      <c r="L168" s="2" t="n"/>
      <c r="N168" s="2" t="n"/>
      <c r="O168" s="2" t="n"/>
      <c r="P168" s="2" t="n"/>
      <c r="Q168" s="2" t="n"/>
      <c r="R168" s="2" t="n"/>
      <c r="S168" s="2" t="n"/>
      <c r="T168" s="2" t="n"/>
      <c r="U168" s="2" t="n"/>
    </row>
    <row r="169" ht="19" customHeight="1" s="74">
      <c r="A169" s="226" t="inlineStr">
        <is>
          <t>RECONCILIATION CHECKS</t>
        </is>
      </c>
    </row>
    <row r="170" ht="15" customHeight="1" s="74">
      <c r="A170" s="235" t="inlineStr">
        <is>
          <t>Period</t>
        </is>
      </c>
      <c r="B170" s="235">
        <f>Data!B13</f>
        <v/>
      </c>
      <c r="C170" s="235">
        <f>Data!C13</f>
        <v/>
      </c>
      <c r="D170" s="235">
        <f>Data!D13</f>
        <v/>
      </c>
      <c r="E170" s="235">
        <f>Data!E13</f>
        <v/>
      </c>
      <c r="F170" s="235">
        <f>Data!F13</f>
        <v/>
      </c>
      <c r="G170" s="235">
        <f>Data!G13</f>
        <v/>
      </c>
      <c r="H170" s="235">
        <f>Data!H13</f>
        <v/>
      </c>
      <c r="I170" s="235">
        <f>Data!I13</f>
        <v/>
      </c>
      <c r="J170" s="235">
        <f>Data!J13</f>
        <v/>
      </c>
      <c r="K170" s="235">
        <f>Data!K13</f>
        <v/>
      </c>
      <c r="L170" s="235">
        <f>Data!L13</f>
        <v/>
      </c>
      <c r="N170" s="2" t="n"/>
      <c r="O170" s="2" t="n"/>
      <c r="P170" s="2" t="n"/>
      <c r="Q170" s="2" t="n"/>
      <c r="R170" s="2" t="n"/>
      <c r="S170" s="2" t="n"/>
      <c r="T170" s="2" t="n"/>
      <c r="U170" s="2" t="n"/>
    </row>
    <row r="171" ht="15" customHeight="1" s="74">
      <c r="A171" s="259" t="inlineStr">
        <is>
          <t>EBITDA ≠ EBIT+D&amp;A? (should be 0)</t>
        </is>
      </c>
      <c r="B171" s="274">
        <f>IFERROR(Data!B20-(Data!B22+Data!B21),"-")</f>
        <v/>
      </c>
      <c r="C171" s="274">
        <f>IFERROR(Data!C20-(Data!C22+Data!C21),"-")</f>
        <v/>
      </c>
      <c r="D171" s="274">
        <f>IFERROR(Data!D20-(Data!D22+Data!D21),"-")</f>
        <v/>
      </c>
      <c r="E171" s="274">
        <f>IFERROR(Data!E20-(Data!E22+Data!E21),"-")</f>
        <v/>
      </c>
      <c r="F171" s="274">
        <f>IFERROR(Data!F20-(Data!F22+Data!F21),"-")</f>
        <v/>
      </c>
      <c r="G171" s="274">
        <f>IFERROR(Data!G20-(Data!G22+Data!G21),"-")</f>
        <v/>
      </c>
      <c r="H171" s="274">
        <f>IFERROR(Data!H20-(Data!H22+Data!H21),"-")</f>
        <v/>
      </c>
      <c r="I171" s="274">
        <f>IFERROR(Data!I20-(Data!I22+Data!I21),"-")</f>
        <v/>
      </c>
      <c r="J171" s="274">
        <f>IFERROR(Data!J20-(Data!J22+Data!J21),"-")</f>
        <v/>
      </c>
      <c r="K171" s="274">
        <f>IFERROR(Data!K20-(Data!K22+Data!K21),"-")</f>
        <v/>
      </c>
      <c r="L171" s="274">
        <f>IFERROR(Data!L20-(Data!L22+Data!L21),"-")</f>
        <v/>
      </c>
      <c r="M171" s="261" t="n"/>
      <c r="N171" s="2" t="n"/>
      <c r="O171" s="2" t="n"/>
      <c r="P171" s="2" t="n"/>
      <c r="Q171" s="2" t="n"/>
      <c r="R171" s="2" t="n"/>
      <c r="S171" s="2" t="n"/>
      <c r="T171" s="2" t="n"/>
      <c r="U171" s="2" t="n"/>
    </row>
    <row r="172" ht="15" customHeight="1" s="74">
      <c r="A172" s="263" t="inlineStr">
        <is>
          <t>NI ≠ PreTax-Tax? (non-zero = other inc/exp)</t>
        </is>
      </c>
      <c r="B172" s="276">
        <f>IFERROR(Data!B26-(Data!B24-Data!B25),"-")</f>
        <v/>
      </c>
      <c r="C172" s="276">
        <f>IFERROR(Data!C26-(Data!C24-Data!C25),"-")</f>
        <v/>
      </c>
      <c r="D172" s="276">
        <f>IFERROR(Data!D26-(Data!D24-Data!D25),"-")</f>
        <v/>
      </c>
      <c r="E172" s="276">
        <f>IFERROR(Data!E26-(Data!E24-Data!E25),"-")</f>
        <v/>
      </c>
      <c r="F172" s="276">
        <f>IFERROR(Data!F26-(Data!F24-Data!F25),"-")</f>
        <v/>
      </c>
      <c r="G172" s="276">
        <f>IFERROR(Data!G26-(Data!G24-Data!G25),"-")</f>
        <v/>
      </c>
      <c r="H172" s="276">
        <f>IFERROR(Data!H26-(Data!H24-Data!H25),"-")</f>
        <v/>
      </c>
      <c r="I172" s="276">
        <f>IFERROR(Data!I26-(Data!I24-Data!I25),"-")</f>
        <v/>
      </c>
      <c r="J172" s="276">
        <f>IFERROR(Data!J26-(Data!J24-Data!J25),"-")</f>
        <v/>
      </c>
      <c r="K172" s="276">
        <f>IFERROR(Data!K26-(Data!K24-Data!K25),"-")</f>
        <v/>
      </c>
      <c r="L172" s="276">
        <f>IFERROR(Data!L26-(Data!L24-Data!L25),"-")</f>
        <v/>
      </c>
      <c r="M172" s="261" t="n"/>
      <c r="N172" s="2" t="n"/>
      <c r="O172" s="2" t="n"/>
      <c r="P172" s="2" t="n"/>
      <c r="Q172" s="2" t="n"/>
      <c r="R172" s="2" t="n"/>
      <c r="S172" s="2" t="n"/>
      <c r="T172" s="2" t="n"/>
      <c r="U172" s="2" t="n"/>
    </row>
    <row r="173" ht="15" customHeight="1" s="74">
      <c r="A173" s="259" t="inlineStr">
        <is>
          <t>Equity = Assets - Liabilities? (should be 0)</t>
        </is>
      </c>
      <c r="B173" s="274">
        <f>IFERROR(Data!B41-(Data!B39-Data!B40),"-")</f>
        <v/>
      </c>
      <c r="C173" s="274">
        <f>IFERROR(Data!C41-(Data!C39-Data!C40),"-")</f>
        <v/>
      </c>
      <c r="D173" s="274">
        <f>IFERROR(Data!D41-(Data!D39-Data!D40),"-")</f>
        <v/>
      </c>
      <c r="E173" s="274">
        <f>IFERROR(Data!E41-(Data!E39-Data!E40),"-")</f>
        <v/>
      </c>
      <c r="F173" s="274">
        <f>IFERROR(Data!F41-(Data!F39-Data!F40),"-")</f>
        <v/>
      </c>
      <c r="G173" s="274">
        <f>IFERROR(Data!G41-(Data!G39-Data!G40),"-")</f>
        <v/>
      </c>
      <c r="H173" s="274">
        <f>IFERROR(Data!H41-(Data!H39-Data!H40),"-")</f>
        <v/>
      </c>
      <c r="I173" s="274">
        <f>IFERROR(Data!I41-(Data!I39-Data!I40),"-")</f>
        <v/>
      </c>
      <c r="J173" s="274">
        <f>IFERROR(Data!J41-(Data!J39-Data!J40),"-")</f>
        <v/>
      </c>
      <c r="K173" s="274">
        <f>IFERROR(Data!K41-(Data!K39-Data!K40),"-")</f>
        <v/>
      </c>
      <c r="L173" s="274">
        <f>IFERROR(Data!L41-(Data!L39-Data!L40),"-")</f>
        <v/>
      </c>
      <c r="M173" s="261" t="n"/>
      <c r="N173" s="2" t="n"/>
      <c r="O173" s="2" t="n"/>
      <c r="P173" s="2" t="n"/>
      <c r="Q173" s="2" t="n"/>
      <c r="R173" s="2" t="n"/>
      <c r="S173" s="2" t="n"/>
      <c r="T173" s="2" t="n"/>
      <c r="U173" s="2" t="n"/>
    </row>
    <row r="174" ht="15" customHeight="1" s="74">
      <c r="A174" s="2" t="n"/>
      <c r="B174" s="2" t="n"/>
      <c r="C174" s="2" t="n"/>
      <c r="D174" s="2" t="n"/>
      <c r="E174" s="2" t="n"/>
      <c r="F174" s="2" t="n"/>
      <c r="G174" s="2" t="n"/>
      <c r="H174" s="2" t="n"/>
      <c r="I174" s="2" t="n"/>
      <c r="J174" s="2" t="n"/>
      <c r="K174" s="2" t="n"/>
      <c r="L174" s="2" t="n"/>
      <c r="N174" s="2" t="n"/>
      <c r="O174" s="2" t="n"/>
      <c r="P174" s="2" t="n"/>
      <c r="Q174" s="2" t="n"/>
      <c r="R174" s="2" t="n"/>
      <c r="S174" s="2" t="n"/>
      <c r="T174" s="2" t="n"/>
      <c r="U174" s="2" t="n"/>
    </row>
    <row r="175" ht="19" customHeight="1" s="74">
      <c r="A175" s="226" t="inlineStr">
        <is>
          <t>VALUATION MULTIPLES (at period-end price)</t>
        </is>
      </c>
    </row>
    <row r="176" ht="15" customHeight="1" s="74">
      <c r="A176" s="235" t="inlineStr">
        <is>
          <t>Period</t>
        </is>
      </c>
      <c r="B176" s="235">
        <f>Data!B13</f>
        <v/>
      </c>
      <c r="C176" s="235">
        <f>Data!C13</f>
        <v/>
      </c>
      <c r="D176" s="235">
        <f>Data!D13</f>
        <v/>
      </c>
      <c r="E176" s="235">
        <f>Data!E13</f>
        <v/>
      </c>
      <c r="F176" s="235">
        <f>Data!F13</f>
        <v/>
      </c>
      <c r="G176" s="235">
        <f>Data!G13</f>
        <v/>
      </c>
      <c r="H176" s="235">
        <f>Data!H13</f>
        <v/>
      </c>
      <c r="I176" s="235">
        <f>Data!I13</f>
        <v/>
      </c>
      <c r="J176" s="235">
        <f>Data!J13</f>
        <v/>
      </c>
      <c r="K176" s="235">
        <f>Data!K13</f>
        <v/>
      </c>
      <c r="L176" s="235">
        <f>Data!L13</f>
        <v/>
      </c>
      <c r="N176" s="2" t="n"/>
      <c r="O176" s="2" t="n"/>
      <c r="P176" s="2" t="n"/>
      <c r="Q176" s="2" t="n"/>
      <c r="R176" s="2" t="n"/>
      <c r="S176" s="2" t="n"/>
      <c r="T176" s="2" t="n"/>
      <c r="U176" s="2" t="n"/>
    </row>
    <row r="177" ht="15" customHeight="1" s="74">
      <c r="A177" s="259" t="inlineStr">
        <is>
          <t>P/E (historical)</t>
        </is>
      </c>
      <c r="B177" s="274">
        <f>IFERROR(Data!B57/Data!B27,"-")</f>
        <v/>
      </c>
      <c r="C177" s="274">
        <f>IFERROR(Data!C57/Data!C27,"-")</f>
        <v/>
      </c>
      <c r="D177" s="274">
        <f>IFERROR(Data!D57/Data!D27,"-")</f>
        <v/>
      </c>
      <c r="E177" s="274">
        <f>IFERROR(Data!E57/Data!E27,"-")</f>
        <v/>
      </c>
      <c r="F177" s="274">
        <f>IFERROR(Data!F57/Data!F27,"-")</f>
        <v/>
      </c>
      <c r="G177" s="274">
        <f>IFERROR(Data!G57/Data!G27,"-")</f>
        <v/>
      </c>
      <c r="H177" s="274">
        <f>IFERROR(Data!H57/Data!H27,"-")</f>
        <v/>
      </c>
      <c r="I177" s="274">
        <f>IFERROR(Data!I57/Data!I27,"-")</f>
        <v/>
      </c>
      <c r="J177" s="274">
        <f>IFERROR(Data!J57/Data!J27,"-")</f>
        <v/>
      </c>
      <c r="K177" s="274">
        <f>IFERROR(Data!K57/Data!K27,"-")</f>
        <v/>
      </c>
      <c r="L177" s="274">
        <f>IFERROR(Data!L57/Data!L27,"-")</f>
        <v/>
      </c>
      <c r="M177" s="261" t="n"/>
      <c r="N177" s="2" t="n"/>
      <c r="O177" s="2" t="n"/>
      <c r="P177" s="2" t="n"/>
      <c r="Q177" s="2" t="n"/>
      <c r="R177" s="2" t="n"/>
      <c r="S177" s="2" t="n"/>
      <c r="T177" s="2" t="n"/>
      <c r="U177" s="2" t="n"/>
    </row>
    <row r="178" ht="15" customHeight="1" s="74">
      <c r="A178" s="263" t="inlineStr">
        <is>
          <t>P/S (historical)</t>
        </is>
      </c>
      <c r="B178" s="276">
        <f>IFERROR(Data!B57/(Data!B14/Data!B28),"-")</f>
        <v/>
      </c>
      <c r="C178" s="276">
        <f>IFERROR(Data!C57/(Data!C14/Data!C28),"-")</f>
        <v/>
      </c>
      <c r="D178" s="276">
        <f>IFERROR(Data!D57/(Data!D14/Data!D28),"-")</f>
        <v/>
      </c>
      <c r="E178" s="276">
        <f>IFERROR(Data!E57/(Data!E14/Data!E28),"-")</f>
        <v/>
      </c>
      <c r="F178" s="276">
        <f>IFERROR(Data!F57/(Data!F14/Data!F28),"-")</f>
        <v/>
      </c>
      <c r="G178" s="276">
        <f>IFERROR(Data!G57/(Data!G14/Data!G28),"-")</f>
        <v/>
      </c>
      <c r="H178" s="276">
        <f>IFERROR(Data!H57/(Data!H14/Data!H28),"-")</f>
        <v/>
      </c>
      <c r="I178" s="276">
        <f>IFERROR(Data!I57/(Data!I14/Data!I28),"-")</f>
        <v/>
      </c>
      <c r="J178" s="276">
        <f>IFERROR(Data!J57/(Data!J14/Data!J28),"-")</f>
        <v/>
      </c>
      <c r="K178" s="276">
        <f>IFERROR(Data!K57/(Data!K14/Data!K28),"-")</f>
        <v/>
      </c>
      <c r="L178" s="276">
        <f>IFERROR(Data!L57/(Data!L14/Data!L28),"-")</f>
        <v/>
      </c>
      <c r="M178" s="261" t="n"/>
      <c r="N178" s="2" t="n"/>
      <c r="O178" s="2" t="n"/>
      <c r="P178" s="2" t="n"/>
      <c r="Q178" s="2" t="n"/>
      <c r="R178" s="2" t="n"/>
      <c r="S178" s="2" t="n"/>
      <c r="T178" s="2" t="n"/>
      <c r="U178" s="2" t="n"/>
    </row>
    <row r="179" ht="15" customHeight="1" s="74">
      <c r="A179" s="259" t="inlineStr">
        <is>
          <t>P/B (historical)</t>
        </is>
      </c>
      <c r="B179" s="274">
        <f>IFERROR(Data!B57/(Data!B41/Data!B28),"-")</f>
        <v/>
      </c>
      <c r="C179" s="274">
        <f>IFERROR(Data!C57/(Data!C41/Data!C28),"-")</f>
        <v/>
      </c>
      <c r="D179" s="274">
        <f>IFERROR(Data!D57/(Data!D41/Data!D28),"-")</f>
        <v/>
      </c>
      <c r="E179" s="274">
        <f>IFERROR(Data!E57/(Data!E41/Data!E28),"-")</f>
        <v/>
      </c>
      <c r="F179" s="274">
        <f>IFERROR(Data!F57/(Data!F41/Data!F28),"-")</f>
        <v/>
      </c>
      <c r="G179" s="274">
        <f>IFERROR(Data!G57/(Data!G41/Data!G28),"-")</f>
        <v/>
      </c>
      <c r="H179" s="274">
        <f>IFERROR(Data!H57/(Data!H41/Data!H28),"-")</f>
        <v/>
      </c>
      <c r="I179" s="274">
        <f>IFERROR(Data!I57/(Data!I41/Data!I28),"-")</f>
        <v/>
      </c>
      <c r="J179" s="274">
        <f>IFERROR(Data!J57/(Data!J41/Data!J28),"-")</f>
        <v/>
      </c>
      <c r="K179" s="274">
        <f>IFERROR(Data!K57/(Data!K41/Data!K28),"-")</f>
        <v/>
      </c>
      <c r="L179" s="274">
        <f>IFERROR(Data!L57/(Data!L41/Data!L28),"-")</f>
        <v/>
      </c>
      <c r="M179" s="261" t="n"/>
      <c r="N179" s="2" t="n"/>
      <c r="O179" s="2" t="n"/>
      <c r="P179" s="2" t="n"/>
      <c r="Q179" s="2" t="n"/>
      <c r="R179" s="2" t="n"/>
      <c r="S179" s="2" t="n"/>
      <c r="T179" s="2" t="n"/>
      <c r="U179" s="2" t="n"/>
    </row>
    <row r="180">
      <c r="A180" s="263" t="inlineStr">
        <is>
          <t>P/FCF (historical)</t>
        </is>
      </c>
      <c r="B180" s="276">
        <f>IFERROR(Data!B57/(Data!B53/Data!B28),"-")</f>
        <v/>
      </c>
      <c r="C180" s="276">
        <f>IFERROR(Data!C57/(Data!C53/Data!C28),"-")</f>
        <v/>
      </c>
      <c r="D180" s="276">
        <f>IFERROR(Data!D57/(Data!D53/Data!D28),"-")</f>
        <v/>
      </c>
      <c r="E180" s="276">
        <f>IFERROR(Data!E57/(Data!E53/Data!E28),"-")</f>
        <v/>
      </c>
      <c r="F180" s="276">
        <f>IFERROR(Data!F57/(Data!F53/Data!F28),"-")</f>
        <v/>
      </c>
      <c r="G180" s="276">
        <f>IFERROR(Data!G57/(Data!G53/Data!G28),"-")</f>
        <v/>
      </c>
      <c r="H180" s="276">
        <f>IFERROR(Data!H57/(Data!H53/Data!H28),"-")</f>
        <v/>
      </c>
      <c r="I180" s="276">
        <f>IFERROR(Data!I57/(Data!I53/Data!I28),"-")</f>
        <v/>
      </c>
      <c r="J180" s="276">
        <f>IFERROR(Data!J57/(Data!J53/Data!J28),"-")</f>
        <v/>
      </c>
      <c r="K180" s="276">
        <f>IFERROR(Data!K57/(Data!K53/Data!K28),"-")</f>
        <v/>
      </c>
      <c r="L180" s="276">
        <f>IFERROR(Data!L57/(Data!L53/Data!L28),"-")</f>
        <v/>
      </c>
      <c r="M180" s="261" t="n"/>
      <c r="N180" s="2" t="n"/>
      <c r="O180" s="2" t="n"/>
      <c r="P180" s="2" t="n"/>
      <c r="Q180" s="2" t="n"/>
      <c r="R180" s="2" t="n"/>
      <c r="S180" s="2" t="n"/>
      <c r="T180" s="2" t="n"/>
      <c r="U180" s="2" t="n"/>
    </row>
    <row r="181">
      <c r="A181" s="259" t="inlineStr">
        <is>
          <t>EV/EBITDA (historical)</t>
        </is>
      </c>
      <c r="B181" s="274">
        <f>IFERROR((Data!B57*Data!B28+Data!B36+Data!B42)/Data!B20,"-")</f>
        <v/>
      </c>
      <c r="C181" s="274">
        <f>IFERROR((Data!C57*Data!C28+Data!C36+Data!C42)/Data!C20,"-")</f>
        <v/>
      </c>
      <c r="D181" s="274">
        <f>IFERROR((Data!D57*Data!D28+Data!D36+Data!D42)/Data!D20,"-")</f>
        <v/>
      </c>
      <c r="E181" s="274">
        <f>IFERROR((Data!E57*Data!E28+Data!E36+Data!E42)/Data!E20,"-")</f>
        <v/>
      </c>
      <c r="F181" s="274">
        <f>IFERROR((Data!F57*Data!F28+Data!F36+Data!F42)/Data!F20,"-")</f>
        <v/>
      </c>
      <c r="G181" s="274">
        <f>IFERROR((Data!G57*Data!G28+Data!G36+Data!G42)/Data!G20,"-")</f>
        <v/>
      </c>
      <c r="H181" s="274">
        <f>IFERROR((Data!H57*Data!H28+Data!H36+Data!H42)/Data!H20,"-")</f>
        <v/>
      </c>
      <c r="I181" s="274">
        <f>IFERROR((Data!I57*Data!I28+Data!I36+Data!I42)/Data!I20,"-")</f>
        <v/>
      </c>
      <c r="J181" s="274">
        <f>IFERROR((Data!J57*Data!J28+Data!J36+Data!J42)/Data!J20,"-")</f>
        <v/>
      </c>
      <c r="K181" s="274">
        <f>IFERROR((Data!K57*Data!K28+Data!K36+Data!K42)/Data!K20,"-")</f>
        <v/>
      </c>
      <c r="L181" s="274">
        <f>IFERROR((Data!L57*Data!L28+Data!L36+Data!L42)/Data!L20,"-")</f>
        <v/>
      </c>
      <c r="M181" s="261" t="n"/>
      <c r="N181" s="2" t="n"/>
      <c r="O181" s="2" t="n"/>
      <c r="P181" s="2" t="n"/>
      <c r="Q181" s="2" t="n"/>
      <c r="R181" s="2" t="n"/>
      <c r="S181" s="2" t="n"/>
      <c r="T181" s="2" t="n"/>
      <c r="U181" s="2" t="n"/>
    </row>
    <row r="182" ht="15" customHeight="1" s="74">
      <c r="A182" s="263" t="inlineStr">
        <is>
          <t>EV/EBIT (historical)</t>
        </is>
      </c>
      <c r="B182" s="276">
        <f>IFERROR((Data!B57*Data!B28+Data!B36+Data!B42)/Data!B22,"-")</f>
        <v/>
      </c>
      <c r="C182" s="276">
        <f>IFERROR((Data!C57*Data!C28+Data!C36+Data!C42)/Data!C22,"-")</f>
        <v/>
      </c>
      <c r="D182" s="276">
        <f>IFERROR((Data!D57*Data!D28+Data!D36+Data!D42)/Data!D22,"-")</f>
        <v/>
      </c>
      <c r="E182" s="276">
        <f>IFERROR((Data!E57*Data!E28+Data!E36+Data!E42)/Data!E22,"-")</f>
        <v/>
      </c>
      <c r="F182" s="276">
        <f>IFERROR((Data!F57*Data!F28+Data!F36+Data!F42)/Data!F22,"-")</f>
        <v/>
      </c>
      <c r="G182" s="276">
        <f>IFERROR((Data!G57*Data!G28+Data!G36+Data!G42)/Data!G22,"-")</f>
        <v/>
      </c>
      <c r="H182" s="276">
        <f>IFERROR((Data!H57*Data!H28+Data!H36+Data!H42)/Data!H22,"-")</f>
        <v/>
      </c>
      <c r="I182" s="276">
        <f>IFERROR((Data!I57*Data!I28+Data!I36+Data!I42)/Data!I22,"-")</f>
        <v/>
      </c>
      <c r="J182" s="276">
        <f>IFERROR((Data!J57*Data!J28+Data!J36+Data!J42)/Data!J22,"-")</f>
        <v/>
      </c>
      <c r="K182" s="276">
        <f>IFERROR((Data!K57*Data!K28+Data!K36+Data!K42)/Data!K22,"-")</f>
        <v/>
      </c>
      <c r="L182" s="276">
        <f>IFERROR((Data!L57*Data!L28+Data!L36+Data!L42)/Data!L22,"-")</f>
        <v/>
      </c>
      <c r="M182" s="261" t="n"/>
      <c r="N182" s="2" t="n"/>
      <c r="O182" s="2" t="n"/>
      <c r="P182" s="2" t="n"/>
      <c r="Q182" s="2" t="n"/>
      <c r="R182" s="2" t="n"/>
      <c r="S182" s="2" t="n"/>
      <c r="T182" s="2" t="n"/>
      <c r="U182" s="2" t="n"/>
    </row>
    <row r="183" ht="15" customHeight="1" s="74">
      <c r="A183" s="259" t="inlineStr">
        <is>
          <t>FCF Yield (historical)</t>
        </is>
      </c>
      <c r="B183" s="274">
        <f>IFERROR((Data!B53/Data!B28)/Data!B57,"-")</f>
        <v/>
      </c>
      <c r="C183" s="274">
        <f>IFERROR((Data!C53/Data!C28)/Data!C57,"-")</f>
        <v/>
      </c>
      <c r="D183" s="274">
        <f>IFERROR((Data!D53/Data!D28)/Data!D57,"-")</f>
        <v/>
      </c>
      <c r="E183" s="274">
        <f>IFERROR((Data!E53/Data!E28)/Data!E57,"-")</f>
        <v/>
      </c>
      <c r="F183" s="274">
        <f>IFERROR((Data!F53/Data!F28)/Data!F57,"-")</f>
        <v/>
      </c>
      <c r="G183" s="274">
        <f>IFERROR((Data!G53/Data!G28)/Data!G57,"-")</f>
        <v/>
      </c>
      <c r="H183" s="274">
        <f>IFERROR((Data!H53/Data!H28)/Data!H57,"-")</f>
        <v/>
      </c>
      <c r="I183" s="274">
        <f>IFERROR((Data!I53/Data!I28)/Data!I57,"-")</f>
        <v/>
      </c>
      <c r="J183" s="274">
        <f>IFERROR((Data!J53/Data!J28)/Data!J57,"-")</f>
        <v/>
      </c>
      <c r="K183" s="274">
        <f>IFERROR((Data!K53/Data!K28)/Data!K57,"-")</f>
        <v/>
      </c>
      <c r="L183" s="274">
        <f>IFERROR((Data!L53/Data!L28)/Data!L57,"-")</f>
        <v/>
      </c>
      <c r="M183" s="261" t="n"/>
      <c r="N183" s="2" t="n"/>
      <c r="O183" s="2" t="n"/>
      <c r="P183" s="2" t="n"/>
      <c r="Q183" s="2" t="n"/>
      <c r="R183" s="2" t="n"/>
      <c r="S183" s="2" t="n"/>
      <c r="T183" s="2" t="n"/>
      <c r="U183" s="2" t="n"/>
    </row>
    <row r="184" ht="15" customHeight="1" s="74">
      <c r="A184" s="263" t="inlineStr">
        <is>
          <t>Earnings Yield (historical)</t>
        </is>
      </c>
      <c r="B184" s="276">
        <f>IFERROR(Data!B27/Data!B57,"-")</f>
        <v/>
      </c>
      <c r="C184" s="276">
        <f>IFERROR(Data!C27/Data!C57,"-")</f>
        <v/>
      </c>
      <c r="D184" s="276">
        <f>IFERROR(Data!D27/Data!D57,"-")</f>
        <v/>
      </c>
      <c r="E184" s="276">
        <f>IFERROR(Data!E27/Data!E57,"-")</f>
        <v/>
      </c>
      <c r="F184" s="276">
        <f>IFERROR(Data!F27/Data!F57,"-")</f>
        <v/>
      </c>
      <c r="G184" s="276">
        <f>IFERROR(Data!G27/Data!G57,"-")</f>
        <v/>
      </c>
      <c r="H184" s="276">
        <f>IFERROR(Data!H27/Data!H57,"-")</f>
        <v/>
      </c>
      <c r="I184" s="276">
        <f>IFERROR(Data!I27/Data!I57,"-")</f>
        <v/>
      </c>
      <c r="J184" s="276">
        <f>IFERROR(Data!J27/Data!J57,"-")</f>
        <v/>
      </c>
      <c r="K184" s="276">
        <f>IFERROR(Data!K27/Data!K57,"-")</f>
        <v/>
      </c>
      <c r="L184" s="276">
        <f>IFERROR(Data!L27/Data!L57,"-")</f>
        <v/>
      </c>
      <c r="M184" s="261" t="n"/>
      <c r="N184" s="2" t="n"/>
      <c r="O184" s="2" t="n"/>
      <c r="P184" s="2" t="n"/>
      <c r="Q184" s="2" t="n"/>
      <c r="R184" s="2" t="n"/>
      <c r="S184" s="2" t="n"/>
      <c r="T184" s="2" t="n"/>
      <c r="U184" s="2" t="n"/>
    </row>
    <row r="185" ht="15" customHeight="1" s="74">
      <c r="A185" s="259" t="inlineStr">
        <is>
          <t>Dividend Yield (historical)</t>
        </is>
      </c>
      <c r="B185" s="274">
        <f>IFERROR((ABS(Data!B55)/Data!B28)/Data!B57,"-")</f>
        <v/>
      </c>
      <c r="C185" s="274">
        <f>IFERROR((ABS(Data!C55)/Data!C28)/Data!C57,"-")</f>
        <v/>
      </c>
      <c r="D185" s="274">
        <f>IFERROR((ABS(Data!D55)/Data!D28)/Data!D57,"-")</f>
        <v/>
      </c>
      <c r="E185" s="274">
        <f>IFERROR((ABS(Data!E55)/Data!E28)/Data!E57,"-")</f>
        <v/>
      </c>
      <c r="F185" s="274">
        <f>IFERROR((ABS(Data!F55)/Data!F28)/Data!F57,"-")</f>
        <v/>
      </c>
      <c r="G185" s="274">
        <f>IFERROR((ABS(Data!G55)/Data!G28)/Data!G57,"-")</f>
        <v/>
      </c>
      <c r="H185" s="274">
        <f>IFERROR((ABS(Data!H55)/Data!H28)/Data!H57,"-")</f>
        <v/>
      </c>
      <c r="I185" s="274">
        <f>IFERROR((ABS(Data!I55)/Data!I28)/Data!I57,"-")</f>
        <v/>
      </c>
      <c r="J185" s="274">
        <f>IFERROR((ABS(Data!J55)/Data!J28)/Data!J57,"-")</f>
        <v/>
      </c>
      <c r="K185" s="274">
        <f>IFERROR((ABS(Data!K55)/Data!K28)/Data!K57,"-")</f>
        <v/>
      </c>
      <c r="L185" s="274">
        <f>IFERROR((ABS(Data!L55)/Data!L28)/Data!L57,"-")</f>
        <v/>
      </c>
      <c r="M185" s="261" t="n"/>
      <c r="N185" s="2" t="n"/>
      <c r="O185" s="2" t="n"/>
      <c r="P185" s="2" t="n"/>
      <c r="Q185" s="2" t="n"/>
      <c r="R185" s="2" t="n"/>
      <c r="S185" s="2" t="n"/>
      <c r="T185" s="2" t="n"/>
      <c r="U185" s="2" t="n"/>
    </row>
    <row r="186" ht="15" customHeight="1" s="74"/>
    <row r="187" ht="15" customHeight="1" s="74"/>
    <row r="188" ht="19" customHeight="1" s="74">
      <c r="A188" s="226" t="inlineStr">
        <is>
          <t>VALUE CREATION (ROIC vs WACC)</t>
        </is>
      </c>
    </row>
    <row r="189" ht="15" customHeight="1" s="74">
      <c r="A189" s="259" t="inlineStr">
        <is>
          <t>Economic Spread (ROIC − WACC)</t>
        </is>
      </c>
      <c r="B189" s="274">
        <f>IFERROR(IF(ISNUMBER(Metrics!B14),Metrics!B14-Valuation!$B$15,"-"),"-")</f>
        <v/>
      </c>
      <c r="C189" s="274">
        <f>IFERROR(IF(ISNUMBER(Metrics!C14),Metrics!C14-Valuation!$B$15,"-"),"-")</f>
        <v/>
      </c>
      <c r="D189" s="274">
        <f>IFERROR(IF(ISNUMBER(Metrics!D14),Metrics!D14-Valuation!$B$15,"-"),"-")</f>
        <v/>
      </c>
      <c r="E189" s="274">
        <f>IFERROR(IF(ISNUMBER(Metrics!E14),Metrics!E14-Valuation!$B$15,"-"),"-")</f>
        <v/>
      </c>
      <c r="F189" s="274">
        <f>IFERROR(IF(ISNUMBER(Metrics!F14),Metrics!F14-Valuation!$B$15,"-"),"-")</f>
        <v/>
      </c>
      <c r="G189" s="274">
        <f>IFERROR(IF(ISNUMBER(Metrics!G14),Metrics!G14-Valuation!$B$15,"-"),"-")</f>
        <v/>
      </c>
      <c r="H189" s="274">
        <f>IFERROR(IF(ISNUMBER(Metrics!H14),Metrics!H14-Valuation!$B$15,"-"),"-")</f>
        <v/>
      </c>
      <c r="I189" s="274">
        <f>IFERROR(IF(ISNUMBER(Metrics!I14),Metrics!I14-Valuation!$B$15,"-"),"-")</f>
        <v/>
      </c>
      <c r="J189" s="274">
        <f>IFERROR(IF(ISNUMBER(Metrics!J14),Metrics!J14-Valuation!$B$15,"-"),"-")</f>
        <v/>
      </c>
      <c r="K189" s="274">
        <f>IFERROR(IF(ISNUMBER(Metrics!K14),Metrics!K14-Valuation!$B$15,"-"),"-")</f>
        <v/>
      </c>
      <c r="L189" s="274">
        <f>IFERROR(IF(ISNUMBER(Metrics!L14),Metrics!L14-Valuation!$B$15,"-"),"-")</f>
        <v/>
      </c>
      <c r="M189" s="261" t="n"/>
    </row>
    <row r="190" ht="15" customHeight="1" s="74">
      <c r="A190" s="263" t="inlineStr">
        <is>
          <t>Invested Capital ($M)</t>
        </is>
      </c>
      <c r="B190" s="276">
        <f>IFERROR(IF(OR(NOT(ISNUMBER(Data!B41)),NOT(ISNUMBER(Data!B35)),NOT(ISNUMBER(Data!B32))),"-",(Data!B41+Data!B35-Data!B32)),"-")</f>
        <v/>
      </c>
      <c r="C190" s="276">
        <f>IFERROR(IF(OR(NOT(ISNUMBER(Data!C41)),NOT(ISNUMBER(Data!C35)),NOT(ISNUMBER(Data!C32))),"-",(Data!C41+Data!C35-Data!C32)),"-")</f>
        <v/>
      </c>
      <c r="D190" s="276">
        <f>IFERROR(IF(OR(NOT(ISNUMBER(Data!D41)),NOT(ISNUMBER(Data!D35)),NOT(ISNUMBER(Data!D32))),"-",(Data!D41+Data!D35-Data!D32)),"-")</f>
        <v/>
      </c>
      <c r="E190" s="276">
        <f>IFERROR(IF(OR(NOT(ISNUMBER(Data!E41)),NOT(ISNUMBER(Data!E35)),NOT(ISNUMBER(Data!E32))),"-",(Data!E41+Data!E35-Data!E32)),"-")</f>
        <v/>
      </c>
      <c r="F190" s="276">
        <f>IFERROR(IF(OR(NOT(ISNUMBER(Data!F41)),NOT(ISNUMBER(Data!F35)),NOT(ISNUMBER(Data!F32))),"-",(Data!F41+Data!F35-Data!F32)),"-")</f>
        <v/>
      </c>
      <c r="G190" s="276">
        <f>IFERROR(IF(OR(NOT(ISNUMBER(Data!G41)),NOT(ISNUMBER(Data!G35)),NOT(ISNUMBER(Data!G32))),"-",(Data!G41+Data!G35-Data!G32)),"-")</f>
        <v/>
      </c>
      <c r="H190" s="276">
        <f>IFERROR(IF(OR(NOT(ISNUMBER(Data!H41)),NOT(ISNUMBER(Data!H35)),NOT(ISNUMBER(Data!H32))),"-",(Data!H41+Data!H35-Data!H32)),"-")</f>
        <v/>
      </c>
      <c r="I190" s="276">
        <f>IFERROR(IF(OR(NOT(ISNUMBER(Data!I41)),NOT(ISNUMBER(Data!I35)),NOT(ISNUMBER(Data!I32))),"-",(Data!I41+Data!I35-Data!I32)),"-")</f>
        <v/>
      </c>
      <c r="J190" s="276">
        <f>IFERROR(IF(OR(NOT(ISNUMBER(Data!J41)),NOT(ISNUMBER(Data!J35)),NOT(ISNUMBER(Data!J32))),"-",(Data!J41+Data!J35-Data!J32)),"-")</f>
        <v/>
      </c>
      <c r="K190" s="276">
        <f>IFERROR(IF(OR(NOT(ISNUMBER(Data!K41)),NOT(ISNUMBER(Data!K35)),NOT(ISNUMBER(Data!K32))),"-",(Data!K41+Data!K35-Data!K32)),"-")</f>
        <v/>
      </c>
      <c r="L190" s="276">
        <f>IFERROR(IF(OR(NOT(ISNUMBER(Data!L41)),NOT(ISNUMBER(Data!L35)),NOT(ISNUMBER(Data!L32))),"-",(Data!L41+Data!L35-Data!L32)),"-")</f>
        <v/>
      </c>
      <c r="M190" s="261" t="n"/>
    </row>
    <row r="191" ht="15" customHeight="1" s="74">
      <c r="A191" s="259" t="inlineStr">
        <is>
          <t>Economic Profit / EVA ($M)</t>
        </is>
      </c>
      <c r="B191" s="274">
        <f>IFERROR(IF(ISNUMBER(Metrics!B14),(Metrics!B14-Valuation!$B$15)*(Data!B41+Data!B35-Data!B32),"-"),"-")</f>
        <v/>
      </c>
      <c r="C191" s="274">
        <f>IFERROR(IF(ISNUMBER(Metrics!C14),(Metrics!C14-Valuation!$B$15)*(Data!C41+Data!C35-Data!C32),"-"),"-")</f>
        <v/>
      </c>
      <c r="D191" s="274">
        <f>IFERROR(IF(ISNUMBER(Metrics!D14),(Metrics!D14-Valuation!$B$15)*(Data!D41+Data!D35-Data!D32),"-"),"-")</f>
        <v/>
      </c>
      <c r="E191" s="274">
        <f>IFERROR(IF(ISNUMBER(Metrics!E14),(Metrics!E14-Valuation!$B$15)*(Data!E41+Data!E35-Data!E32),"-"),"-")</f>
        <v/>
      </c>
      <c r="F191" s="274">
        <f>IFERROR(IF(ISNUMBER(Metrics!F14),(Metrics!F14-Valuation!$B$15)*(Data!F41+Data!F35-Data!F32),"-"),"-")</f>
        <v/>
      </c>
      <c r="G191" s="274">
        <f>IFERROR(IF(ISNUMBER(Metrics!G14),(Metrics!G14-Valuation!$B$15)*(Data!G41+Data!G35-Data!G32),"-"),"-")</f>
        <v/>
      </c>
      <c r="H191" s="274">
        <f>IFERROR(IF(ISNUMBER(Metrics!H14),(Metrics!H14-Valuation!$B$15)*(Data!H41+Data!H35-Data!H32),"-"),"-")</f>
        <v/>
      </c>
      <c r="I191" s="274">
        <f>IFERROR(IF(ISNUMBER(Metrics!I14),(Metrics!I14-Valuation!$B$15)*(Data!I41+Data!I35-Data!I32),"-"),"-")</f>
        <v/>
      </c>
      <c r="J191" s="274">
        <f>IFERROR(IF(ISNUMBER(Metrics!J14),(Metrics!J14-Valuation!$B$15)*(Data!J41+Data!J35-Data!J32),"-"),"-")</f>
        <v/>
      </c>
      <c r="K191" s="274">
        <f>IFERROR(IF(ISNUMBER(Metrics!K14),(Metrics!K14-Valuation!$B$15)*(Data!K41+Data!K35-Data!K32),"-"),"-")</f>
        <v/>
      </c>
      <c r="L191" s="274">
        <f>IFERROR(IF(ISNUMBER(Metrics!L14),(Metrics!L14-Valuation!$B$15)*(Data!L41+Data!L35-Data!L32),"-"),"-")</f>
        <v/>
      </c>
      <c r="M191" s="261" t="n"/>
    </row>
    <row r="192" ht="19" customHeight="1" s="74">
      <c r="A192" s="226" t="inlineStr">
        <is>
          <t>EARNINGS QUALITY</t>
        </is>
      </c>
    </row>
    <row r="193">
      <c r="A193" s="259" t="inlineStr">
        <is>
          <t>Accruals Ratio ((NI−OCF)/Assets)</t>
        </is>
      </c>
      <c r="B193" s="274">
        <f>IFERROR(IF(OR(NOT(ISNUMBER(Data!B26)),NOT(ISNUMBER(Data!B51)),NOT(ISNUMBER(Data!B39))),"-",(Data!B26-Data!B51)/Data!B39),"-")</f>
        <v/>
      </c>
      <c r="C193" s="274">
        <f>IFERROR(IF(OR(NOT(ISNUMBER(Data!C26)),NOT(ISNUMBER(Data!C51)),NOT(ISNUMBER(Data!C39))),"-",(Data!C26-Data!C51)/Data!C39),"-")</f>
        <v/>
      </c>
      <c r="D193" s="274">
        <f>IFERROR(IF(OR(NOT(ISNUMBER(Data!D26)),NOT(ISNUMBER(Data!D51)),NOT(ISNUMBER(Data!D39))),"-",(Data!D26-Data!D51)/Data!D39),"-")</f>
        <v/>
      </c>
      <c r="E193" s="274">
        <f>IFERROR(IF(OR(NOT(ISNUMBER(Data!E26)),NOT(ISNUMBER(Data!E51)),NOT(ISNUMBER(Data!E39))),"-",(Data!E26-Data!E51)/Data!E39),"-")</f>
        <v/>
      </c>
      <c r="F193" s="274">
        <f>IFERROR(IF(OR(NOT(ISNUMBER(Data!F26)),NOT(ISNUMBER(Data!F51)),NOT(ISNUMBER(Data!F39))),"-",(Data!F26-Data!F51)/Data!F39),"-")</f>
        <v/>
      </c>
      <c r="G193" s="274">
        <f>IFERROR(IF(OR(NOT(ISNUMBER(Data!G26)),NOT(ISNUMBER(Data!G51)),NOT(ISNUMBER(Data!G39))),"-",(Data!G26-Data!G51)/Data!G39),"-")</f>
        <v/>
      </c>
      <c r="H193" s="274">
        <f>IFERROR(IF(OR(NOT(ISNUMBER(Data!H26)),NOT(ISNUMBER(Data!H51)),NOT(ISNUMBER(Data!H39))),"-",(Data!H26-Data!H51)/Data!H39),"-")</f>
        <v/>
      </c>
      <c r="I193" s="274">
        <f>IFERROR(IF(OR(NOT(ISNUMBER(Data!I26)),NOT(ISNUMBER(Data!I51)),NOT(ISNUMBER(Data!I39))),"-",(Data!I26-Data!I51)/Data!I39),"-")</f>
        <v/>
      </c>
      <c r="J193" s="274">
        <f>IFERROR(IF(OR(NOT(ISNUMBER(Data!J26)),NOT(ISNUMBER(Data!J51)),NOT(ISNUMBER(Data!J39))),"-",(Data!J26-Data!J51)/Data!J39),"-")</f>
        <v/>
      </c>
      <c r="K193" s="274">
        <f>IFERROR(IF(OR(NOT(ISNUMBER(Data!K26)),NOT(ISNUMBER(Data!K51)),NOT(ISNUMBER(Data!K39))),"-",(Data!K26-Data!K51)/Data!K39),"-")</f>
        <v/>
      </c>
      <c r="L193" s="274">
        <f>IFERROR(IF(OR(NOT(ISNUMBER(Data!L26)),NOT(ISNUMBER(Data!L51)),NOT(ISNUMBER(Data!L39))),"-",(Data!L26-Data!L51)/Data!L39),"-")</f>
        <v/>
      </c>
      <c r="M193" s="261" t="n"/>
    </row>
    <row r="194">
      <c r="A194" s="263" t="inlineStr">
        <is>
          <t>Cash Conversion (OCF / NI)</t>
        </is>
      </c>
      <c r="B194" s="276">
        <f>IFERROR(IF(OR(NOT(ISNUMBER(Data!B51)),NOT(ISNUMBER(Data!B26))),"-",Data!B51/Data!B26),"-")</f>
        <v/>
      </c>
      <c r="C194" s="276">
        <f>IFERROR(IF(OR(NOT(ISNUMBER(Data!C51)),NOT(ISNUMBER(Data!C26))),"-",Data!C51/Data!C26),"-")</f>
        <v/>
      </c>
      <c r="D194" s="276">
        <f>IFERROR(IF(OR(NOT(ISNUMBER(Data!D51)),NOT(ISNUMBER(Data!D26))),"-",Data!D51/Data!D26),"-")</f>
        <v/>
      </c>
      <c r="E194" s="276">
        <f>IFERROR(IF(OR(NOT(ISNUMBER(Data!E51)),NOT(ISNUMBER(Data!E26))),"-",Data!E51/Data!E26),"-")</f>
        <v/>
      </c>
      <c r="F194" s="276">
        <f>IFERROR(IF(OR(NOT(ISNUMBER(Data!F51)),NOT(ISNUMBER(Data!F26))),"-",Data!F51/Data!F26),"-")</f>
        <v/>
      </c>
      <c r="G194" s="276">
        <f>IFERROR(IF(OR(NOT(ISNUMBER(Data!G51)),NOT(ISNUMBER(Data!G26))),"-",Data!G51/Data!G26),"-")</f>
        <v/>
      </c>
      <c r="H194" s="276">
        <f>IFERROR(IF(OR(NOT(ISNUMBER(Data!H51)),NOT(ISNUMBER(Data!H26))),"-",Data!H51/Data!H26),"-")</f>
        <v/>
      </c>
      <c r="I194" s="276">
        <f>IFERROR(IF(OR(NOT(ISNUMBER(Data!I51)),NOT(ISNUMBER(Data!I26))),"-",Data!I51/Data!I26),"-")</f>
        <v/>
      </c>
      <c r="J194" s="276">
        <f>IFERROR(IF(OR(NOT(ISNUMBER(Data!J51)),NOT(ISNUMBER(Data!J26))),"-",Data!J51/Data!J26),"-")</f>
        <v/>
      </c>
      <c r="K194" s="276">
        <f>IFERROR(IF(OR(NOT(ISNUMBER(Data!K51)),NOT(ISNUMBER(Data!K26))),"-",Data!K51/Data!K26),"-")</f>
        <v/>
      </c>
      <c r="L194" s="276">
        <f>IFERROR(IF(OR(NOT(ISNUMBER(Data!L51)),NOT(ISNUMBER(Data!L26))),"-",Data!L51/Data!L26),"-")</f>
        <v/>
      </c>
      <c r="M194" s="261" t="n"/>
    </row>
    <row r="195" ht="19" customHeight="1" s="74">
      <c r="A195" s="226" t="inlineStr">
        <is>
          <t>NORMALIZED / ADJUSTED EARNINGS  (blue = analyst input)</t>
        </is>
      </c>
    </row>
    <row r="196">
      <c r="A196" s="259" t="inlineStr">
        <is>
          <t>Non-recurring items, pre-tax ($M)</t>
        </is>
      </c>
      <c r="B196" s="274" t="n"/>
      <c r="C196" s="274" t="n">
        <v>0</v>
      </c>
      <c r="D196" s="274" t="n">
        <v>0</v>
      </c>
      <c r="E196" s="274" t="n">
        <v>0</v>
      </c>
      <c r="F196" s="274" t="n">
        <v>0</v>
      </c>
      <c r="G196" s="274" t="n">
        <v>0</v>
      </c>
      <c r="H196" s="274" t="n">
        <v>0</v>
      </c>
      <c r="I196" s="274" t="n">
        <v>0</v>
      </c>
      <c r="J196" s="274" t="n">
        <v>0</v>
      </c>
      <c r="K196" s="274" t="n">
        <v>0</v>
      </c>
      <c r="L196" s="274" t="n">
        <v>0</v>
      </c>
      <c r="M196" s="261" t="n"/>
    </row>
    <row r="197">
      <c r="A197" s="263" t="inlineStr">
        <is>
          <t>Normalized EBIT</t>
        </is>
      </c>
      <c r="B197" s="276">
        <f>IFERROR(IF(ISNUMBER(Data!B22),Data!B22+Metrics!B196,"-"),"-")</f>
        <v/>
      </c>
      <c r="C197" s="276">
        <f>IFERROR(IF(ISNUMBER(Data!C22),Data!C22+Metrics!C196,"-"),"-")</f>
        <v/>
      </c>
      <c r="D197" s="276">
        <f>IFERROR(IF(ISNUMBER(Data!D22),Data!D22+Metrics!D196,"-"),"-")</f>
        <v/>
      </c>
      <c r="E197" s="276">
        <f>IFERROR(IF(ISNUMBER(Data!E22),Data!E22+Metrics!E196,"-"),"-")</f>
        <v/>
      </c>
      <c r="F197" s="276">
        <f>IFERROR(IF(ISNUMBER(Data!F22),Data!F22+Metrics!F196,"-"),"-")</f>
        <v/>
      </c>
      <c r="G197" s="276">
        <f>IFERROR(IF(ISNUMBER(Data!G22),Data!G22+Metrics!G196,"-"),"-")</f>
        <v/>
      </c>
      <c r="H197" s="276">
        <f>IFERROR(IF(ISNUMBER(Data!H22),Data!H22+Metrics!H196,"-"),"-")</f>
        <v/>
      </c>
      <c r="I197" s="276">
        <f>IFERROR(IF(ISNUMBER(Data!I22),Data!I22+Metrics!I196,"-"),"-")</f>
        <v/>
      </c>
      <c r="J197" s="276">
        <f>IFERROR(IF(ISNUMBER(Data!J22),Data!J22+Metrics!J196,"-"),"-")</f>
        <v/>
      </c>
      <c r="K197" s="276">
        <f>IFERROR(IF(ISNUMBER(Data!K22),Data!K22+Metrics!K196,"-"),"-")</f>
        <v/>
      </c>
      <c r="L197" s="276">
        <f>IFERROR(IF(ISNUMBER(Data!L22),Data!L22+Metrics!L196,"-"),"-")</f>
        <v/>
      </c>
      <c r="M197" s="261" t="n"/>
    </row>
    <row r="198">
      <c r="A198" s="259" t="inlineStr">
        <is>
          <t>Normalized Net Income</t>
        </is>
      </c>
      <c r="B198" s="274">
        <f>IFERROR(IF(ISNUMBER(Data!B26),Data!B26+Metrics!B196*(1-IFERROR(Data!B25/Data!B24,0.21)),"-"),"-")</f>
        <v/>
      </c>
      <c r="C198" s="274">
        <f>IFERROR(IF(ISNUMBER(Data!C26),Data!C26+Metrics!C196*(1-IFERROR(Data!C25/Data!C24,0.21)),"-"),"-")</f>
        <v/>
      </c>
      <c r="D198" s="274">
        <f>IFERROR(IF(ISNUMBER(Data!D26),Data!D26+Metrics!D196*(1-IFERROR(Data!D25/Data!D24,0.21)),"-"),"-")</f>
        <v/>
      </c>
      <c r="E198" s="274">
        <f>IFERROR(IF(ISNUMBER(Data!E26),Data!E26+Metrics!E196*(1-IFERROR(Data!E25/Data!E24,0.21)),"-"),"-")</f>
        <v/>
      </c>
      <c r="F198" s="274">
        <f>IFERROR(IF(ISNUMBER(Data!F26),Data!F26+Metrics!F196*(1-IFERROR(Data!F25/Data!F24,0.21)),"-"),"-")</f>
        <v/>
      </c>
      <c r="G198" s="274">
        <f>IFERROR(IF(ISNUMBER(Data!G26),Data!G26+Metrics!G196*(1-IFERROR(Data!G25/Data!G24,0.21)),"-"),"-")</f>
        <v/>
      </c>
      <c r="H198" s="274">
        <f>IFERROR(IF(ISNUMBER(Data!H26),Data!H26+Metrics!H196*(1-IFERROR(Data!H25/Data!H24,0.21)),"-"),"-")</f>
        <v/>
      </c>
      <c r="I198" s="274">
        <f>IFERROR(IF(ISNUMBER(Data!I26),Data!I26+Metrics!I196*(1-IFERROR(Data!I25/Data!I24,0.21)),"-"),"-")</f>
        <v/>
      </c>
      <c r="J198" s="274">
        <f>IFERROR(IF(ISNUMBER(Data!J26),Data!J26+Metrics!J196*(1-IFERROR(Data!J25/Data!J24,0.21)),"-"),"-")</f>
        <v/>
      </c>
      <c r="K198" s="274">
        <f>IFERROR(IF(ISNUMBER(Data!K26),Data!K26+Metrics!K196*(1-IFERROR(Data!K25/Data!K24,0.21)),"-"),"-")</f>
        <v/>
      </c>
      <c r="L198" s="274">
        <f>IFERROR(IF(ISNUMBER(Data!L26),Data!L26+Metrics!L196*(1-IFERROR(Data!L25/Data!L24,0.21)),"-"),"-")</f>
        <v/>
      </c>
      <c r="M198" s="261" t="n"/>
    </row>
    <row r="199">
      <c r="A199" s="263" t="inlineStr">
        <is>
          <t>Normalized Diluted EPS</t>
        </is>
      </c>
      <c r="B199" s="276">
        <f>IFERROR(IF(AND(ISNUMBER(Metrics!B198),ISNUMBER(Data!B28)),Metrics!B198/Data!B28,"-"),"-")</f>
        <v/>
      </c>
      <c r="C199" s="276">
        <f>IFERROR(IF(AND(ISNUMBER(Metrics!C198),ISNUMBER(Data!C28)),Metrics!C198/Data!C28,"-"),"-")</f>
        <v/>
      </c>
      <c r="D199" s="276">
        <f>IFERROR(IF(AND(ISNUMBER(Metrics!D198),ISNUMBER(Data!D28)),Metrics!D198/Data!D28,"-"),"-")</f>
        <v/>
      </c>
      <c r="E199" s="276">
        <f>IFERROR(IF(AND(ISNUMBER(Metrics!E198),ISNUMBER(Data!E28)),Metrics!E198/Data!E28,"-"),"-")</f>
        <v/>
      </c>
      <c r="F199" s="276">
        <f>IFERROR(IF(AND(ISNUMBER(Metrics!F198),ISNUMBER(Data!F28)),Metrics!F198/Data!F28,"-"),"-")</f>
        <v/>
      </c>
      <c r="G199" s="276">
        <f>IFERROR(IF(AND(ISNUMBER(Metrics!G198),ISNUMBER(Data!G28)),Metrics!G198/Data!G28,"-"),"-")</f>
        <v/>
      </c>
      <c r="H199" s="276">
        <f>IFERROR(IF(AND(ISNUMBER(Metrics!H198),ISNUMBER(Data!H28)),Metrics!H198/Data!H28,"-"),"-")</f>
        <v/>
      </c>
      <c r="I199" s="276">
        <f>IFERROR(IF(AND(ISNUMBER(Metrics!I198),ISNUMBER(Data!I28)),Metrics!I198/Data!I28,"-"),"-")</f>
        <v/>
      </c>
      <c r="J199" s="276">
        <f>IFERROR(IF(AND(ISNUMBER(Metrics!J198),ISNUMBER(Data!J28)),Metrics!J198/Data!J28,"-"),"-")</f>
        <v/>
      </c>
      <c r="K199" s="276">
        <f>IFERROR(IF(AND(ISNUMBER(Metrics!K198),ISNUMBER(Data!K28)),Metrics!K198/Data!K28,"-"),"-")</f>
        <v/>
      </c>
      <c r="L199" s="276">
        <f>IFERROR(IF(AND(ISNUMBER(Metrics!L198),ISNUMBER(Data!L28)),Metrics!L198/Data!L28,"-"),"-")</f>
        <v/>
      </c>
      <c r="M199" s="261" t="n"/>
    </row>
    <row r="200">
      <c r="A200" s="259" t="inlineStr">
        <is>
          <t>Normalized EBIT Margin</t>
        </is>
      </c>
      <c r="B200" s="274">
        <f>IFERROR(IF(ISNUMBER(Metrics!B197),Metrics!B197/Data!B14,"-"),"-")</f>
        <v/>
      </c>
      <c r="C200" s="274">
        <f>IFERROR(IF(ISNUMBER(Metrics!C197),Metrics!C197/Data!C14,"-"),"-")</f>
        <v/>
      </c>
      <c r="D200" s="274">
        <f>IFERROR(IF(ISNUMBER(Metrics!D197),Metrics!D197/Data!D14,"-"),"-")</f>
        <v/>
      </c>
      <c r="E200" s="274">
        <f>IFERROR(IF(ISNUMBER(Metrics!E197),Metrics!E197/Data!E14,"-"),"-")</f>
        <v/>
      </c>
      <c r="F200" s="274">
        <f>IFERROR(IF(ISNUMBER(Metrics!F197),Metrics!F197/Data!F14,"-"),"-")</f>
        <v/>
      </c>
      <c r="G200" s="274">
        <f>IFERROR(IF(ISNUMBER(Metrics!G197),Metrics!G197/Data!G14,"-"),"-")</f>
        <v/>
      </c>
      <c r="H200" s="274">
        <f>IFERROR(IF(ISNUMBER(Metrics!H197),Metrics!H197/Data!H14,"-"),"-")</f>
        <v/>
      </c>
      <c r="I200" s="274">
        <f>IFERROR(IF(ISNUMBER(Metrics!I197),Metrics!I197/Data!I14,"-"),"-")</f>
        <v/>
      </c>
      <c r="J200" s="274">
        <f>IFERROR(IF(ISNUMBER(Metrics!J197),Metrics!J197/Data!J14,"-"),"-")</f>
        <v/>
      </c>
      <c r="K200" s="274">
        <f>IFERROR(IF(ISNUMBER(Metrics!K197),Metrics!K197/Data!K14,"-"),"-")</f>
        <v/>
      </c>
      <c r="L200" s="274">
        <f>IFERROR(IF(ISNUMBER(Metrics!L197),Metrics!L197/Data!L14,"-"),"-")</f>
        <v/>
      </c>
      <c r="M200" s="261" t="n"/>
    </row>
    <row r="201">
      <c r="A201" s="263" t="inlineStr">
        <is>
          <t>Normalized Net Margin</t>
        </is>
      </c>
      <c r="B201" s="276">
        <f>IFERROR(IF(ISNUMBER(Metrics!B198),Metrics!B198/Data!B14,"-"),"-")</f>
        <v/>
      </c>
      <c r="C201" s="276">
        <f>IFERROR(IF(ISNUMBER(Metrics!C198),Metrics!C198/Data!C14,"-"),"-")</f>
        <v/>
      </c>
      <c r="D201" s="276">
        <f>IFERROR(IF(ISNUMBER(Metrics!D198),Metrics!D198/Data!D14,"-"),"-")</f>
        <v/>
      </c>
      <c r="E201" s="276">
        <f>IFERROR(IF(ISNUMBER(Metrics!E198),Metrics!E198/Data!E14,"-"),"-")</f>
        <v/>
      </c>
      <c r="F201" s="276">
        <f>IFERROR(IF(ISNUMBER(Metrics!F198),Metrics!F198/Data!F14,"-"),"-")</f>
        <v/>
      </c>
      <c r="G201" s="276">
        <f>IFERROR(IF(ISNUMBER(Metrics!G198),Metrics!G198/Data!G14,"-"),"-")</f>
        <v/>
      </c>
      <c r="H201" s="276">
        <f>IFERROR(IF(ISNUMBER(Metrics!H198),Metrics!H198/Data!H14,"-"),"-")</f>
        <v/>
      </c>
      <c r="I201" s="276">
        <f>IFERROR(IF(ISNUMBER(Metrics!I198),Metrics!I198/Data!I14,"-"),"-")</f>
        <v/>
      </c>
      <c r="J201" s="276">
        <f>IFERROR(IF(ISNUMBER(Metrics!J198),Metrics!J198/Data!J14,"-"),"-")</f>
        <v/>
      </c>
      <c r="K201" s="276">
        <f>IFERROR(IF(ISNUMBER(Metrics!K198),Metrics!K198/Data!K14,"-"),"-")</f>
        <v/>
      </c>
      <c r="L201" s="276">
        <f>IFERROR(IF(ISNUMBER(Metrics!L198),Metrics!L198/Data!L14,"-"),"-")</f>
        <v/>
      </c>
      <c r="M201" s="261" t="n"/>
    </row>
  </sheetData>
  <mergeCells count="19">
    <mergeCell ref="A116:Y116"/>
    <mergeCell ref="A84:L84"/>
    <mergeCell ref="A56:L56"/>
    <mergeCell ref="A192:L192"/>
    <mergeCell ref="A195:L195"/>
    <mergeCell ref="A175:L175"/>
    <mergeCell ref="A2:U2"/>
    <mergeCell ref="A10:Y10"/>
    <mergeCell ref="A28:Y28"/>
    <mergeCell ref="A93:Y93"/>
    <mergeCell ref="A151:L151"/>
    <mergeCell ref="A188:L188"/>
    <mergeCell ref="A20:L20"/>
    <mergeCell ref="A34:L34"/>
    <mergeCell ref="A46:Y46"/>
    <mergeCell ref="A128:Y128"/>
    <mergeCell ref="A169:L169"/>
    <mergeCell ref="A66:Y66"/>
    <mergeCell ref="A105:Y105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62"/>
  <sheetViews>
    <sheetView showGridLines="1" zoomScale="100" workbookViewId="0">
      <pane xSplit="1" topLeftCell="B1" activePane="topRight" state="frozen"/>
      <selection activeCell="A1" sqref="A1"/>
    </sheetView>
  </sheetViews>
  <sheetFormatPr baseColWidth="8" defaultRowHeight="15"/>
  <cols>
    <col width="27" customWidth="1" style="74" min="1" max="1"/>
    <col width="20" customWidth="1" style="74" min="2" max="2"/>
    <col width="20" customWidth="1" style="74" min="3" max="3"/>
    <col width="20" customWidth="1" style="74" min="4" max="4"/>
    <col width="20" customWidth="1" style="74" min="5" max="5"/>
    <col width="4" customWidth="1" style="74" min="6" max="6"/>
    <col width="4" customWidth="1" style="74" min="7" max="7"/>
    <col width="4" customWidth="1" style="74" min="8" max="8"/>
    <col width="4" customWidth="1" style="74" min="9" max="9"/>
    <col width="4" customWidth="1" style="74" min="10" max="10"/>
    <col width="4" customWidth="1" style="74" min="11" max="11"/>
    <col width="4" customWidth="1" style="74" min="12" max="12"/>
    <col hidden="1" width="13" customWidth="1" style="74" min="13" max="13"/>
  </cols>
  <sheetData>
    <row r="1" ht="57.75" customHeight="1" s="74">
      <c r="A1" s="436" t="n"/>
      <c r="F1" s="261" t="n"/>
      <c r="G1" s="261" t="n"/>
      <c r="H1" s="261" t="n"/>
      <c r="I1" s="261" t="n"/>
      <c r="J1" s="261" t="n"/>
      <c r="K1" s="261" t="n"/>
      <c r="L1" s="261" t="n"/>
      <c r="M1" s="261" t="n"/>
    </row>
    <row r="2" ht="24" customHeight="1" s="74">
      <c r="A2" s="278" t="inlineStr">
        <is>
          <t>Company</t>
        </is>
      </c>
      <c r="B2" s="279" t="inlineStr">
        <is>
          <t>Walmart Inc.</t>
        </is>
      </c>
      <c r="C2" s="279" t="inlineStr">
        <is>
          <t>Microsoft Corporation</t>
        </is>
      </c>
      <c r="D2" s="279" t="inlineStr">
        <is>
          <t>Alphabet Inc.</t>
        </is>
      </c>
      <c r="E2" s="279" t="n"/>
      <c r="F2" s="280" t="n"/>
      <c r="G2" s="261" t="n"/>
      <c r="H2" s="281" t="n"/>
      <c r="I2" s="261" t="n"/>
      <c r="J2" s="261" t="n"/>
      <c r="K2" s="261" t="n"/>
      <c r="L2" s="261" t="n"/>
      <c r="M2" s="309" t="inlineStr">
        <is>
          <t xml:space="preserve">market-researcher | peer-researcher | as-of: </t>
        </is>
      </c>
    </row>
    <row r="3" ht="24" customHeight="1" s="74">
      <c r="A3" s="259" t="inlineStr">
        <is>
          <t>Ticker</t>
        </is>
      </c>
      <c r="B3" s="425" t="inlineStr">
        <is>
          <t>WMT</t>
        </is>
      </c>
      <c r="C3" s="425" t="inlineStr">
        <is>
          <t>MSFT</t>
        </is>
      </c>
      <c r="D3" s="425" t="inlineStr">
        <is>
          <t>GOOG</t>
        </is>
      </c>
      <c r="E3" s="425" t="n"/>
      <c r="F3" s="261" t="n"/>
      <c r="G3" s="261" t="n"/>
      <c r="H3" s="261" t="n"/>
      <c r="I3" s="261" t="n"/>
      <c r="J3" s="261" t="n"/>
      <c r="K3" s="261" t="n"/>
      <c r="L3" s="261" t="n"/>
      <c r="M3" s="309" t="inlineStr">
        <is>
          <t xml:space="preserve">market-researcher | peer-researcher | as-of: </t>
        </is>
      </c>
    </row>
    <row r="4" ht="17" customHeight="1" s="74">
      <c r="A4" s="263" t="inlineStr">
        <is>
          <t>Accounting Std.</t>
        </is>
      </c>
      <c r="B4" s="426" t="inlineStr">
        <is>
          <t>US GAAP</t>
        </is>
      </c>
      <c r="C4" s="426" t="inlineStr">
        <is>
          <t>US GAAP</t>
        </is>
      </c>
      <c r="D4" s="426" t="inlineStr">
        <is>
          <t>US GAAP</t>
        </is>
      </c>
      <c r="E4" s="426" t="n"/>
      <c r="F4" s="261" t="n"/>
      <c r="G4" s="261" t="n"/>
      <c r="H4" s="261" t="n"/>
      <c r="I4" s="261" t="n"/>
      <c r="J4" s="261" t="n"/>
      <c r="K4" s="261" t="n"/>
      <c r="L4" s="261" t="n"/>
      <c r="M4" s="309" t="inlineStr">
        <is>
          <t xml:space="preserve">market-researcher | peer-researcher | as-of: </t>
        </is>
      </c>
    </row>
    <row r="5" ht="17" customHeight="1" s="74">
      <c r="A5" s="259" t="inlineStr">
        <is>
          <t>Fiscal Year End</t>
        </is>
      </c>
      <c r="B5" s="425" t="inlineStr">
        <is>
          <t>January</t>
        </is>
      </c>
      <c r="C5" s="425" t="inlineStr">
        <is>
          <t>June</t>
        </is>
      </c>
      <c r="D5" s="425" t="inlineStr">
        <is>
          <t>December</t>
        </is>
      </c>
      <c r="E5" s="425" t="n"/>
      <c r="F5" s="261" t="n"/>
      <c r="G5" s="261" t="n"/>
      <c r="H5" s="261" t="n"/>
      <c r="I5" s="261" t="n"/>
      <c r="J5" s="261" t="n"/>
      <c r="K5" s="261" t="n"/>
      <c r="L5" s="261" t="n"/>
      <c r="M5" s="309" t="inlineStr">
        <is>
          <t xml:space="preserve">market-researcher | peer-researcher | as-of: </t>
        </is>
      </c>
    </row>
    <row r="6" ht="17" customHeight="1" s="74">
      <c r="A6" s="263" t="inlineStr">
        <is>
          <t>Filing Type</t>
        </is>
      </c>
      <c r="B6" s="426" t="inlineStr">
        <is>
          <t>10-K (Annual Report FY2025)</t>
        </is>
      </c>
      <c r="C6" s="426" t="inlineStr">
        <is>
          <t>10-K</t>
        </is>
      </c>
      <c r="D6" s="426" t="inlineStr">
        <is>
          <t>10-K</t>
        </is>
      </c>
      <c r="E6" s="426" t="n"/>
      <c r="F6" s="261" t="n"/>
      <c r="G6" s="261" t="n"/>
      <c r="H6" s="261" t="n"/>
      <c r="I6" s="261" t="n"/>
      <c r="J6" s="261" t="n"/>
      <c r="K6" s="261" t="n"/>
      <c r="L6" s="261" t="n"/>
      <c r="M6" s="309" t="inlineStr">
        <is>
          <t xml:space="preserve">market-researcher | peer-researcher | as-of: </t>
        </is>
      </c>
    </row>
    <row r="7" ht="17" customHeight="1" s="74">
      <c r="A7" s="259" t="inlineStr">
        <is>
          <t>Period</t>
        </is>
      </c>
      <c r="B7" s="425" t="inlineStr">
        <is>
          <t>FY2025</t>
        </is>
      </c>
      <c r="C7" s="425" t="inlineStr">
        <is>
          <t>FY2026</t>
        </is>
      </c>
      <c r="D7" s="425" t="inlineStr">
        <is>
          <t>FY2025</t>
        </is>
      </c>
      <c r="E7" s="425" t="n"/>
      <c r="F7" s="261" t="n"/>
      <c r="G7" s="261" t="n"/>
      <c r="H7" s="261" t="n"/>
      <c r="I7" s="261" t="n"/>
      <c r="J7" s="261" t="n"/>
      <c r="K7" s="261" t="n"/>
      <c r="L7" s="261" t="n"/>
      <c r="M7" s="309" t="inlineStr">
        <is>
          <t xml:space="preserve">market-researcher | peer-researcher | as-of: </t>
        </is>
      </c>
    </row>
    <row r="8" ht="22" customHeight="1" s="74">
      <c r="A8" s="226" t="inlineStr">
        <is>
          <t>P&amp;L METRICS</t>
        </is>
      </c>
      <c r="F8" s="261" t="n"/>
      <c r="G8" s="261" t="n"/>
      <c r="H8" s="261" t="n"/>
      <c r="I8" s="261" t="n"/>
      <c r="J8" s="261" t="n"/>
      <c r="K8" s="261" t="n"/>
      <c r="L8" s="261" t="n"/>
      <c r="M8" s="261" t="n"/>
    </row>
    <row r="9" ht="17" customHeight="1" s="74">
      <c r="A9" s="282" t="n"/>
      <c r="B9" s="283" t="n"/>
      <c r="C9" s="283" t="n"/>
      <c r="D9" s="283" t="n"/>
      <c r="E9" s="283" t="n"/>
      <c r="F9" s="284" t="n"/>
      <c r="G9" s="284" t="n"/>
      <c r="H9" s="284" t="n"/>
      <c r="I9" s="284" t="n"/>
      <c r="J9" s="284" t="n"/>
      <c r="K9" s="284" t="n"/>
      <c r="L9" s="284" t="n"/>
      <c r="M9" s="261" t="n"/>
    </row>
    <row r="10" ht="17" customHeight="1" s="74">
      <c r="A10" s="263" t="inlineStr">
        <is>
          <t>Revenue ($M)</t>
        </is>
      </c>
      <c r="B10" s="427" t="n">
        <v>680985</v>
      </c>
      <c r="C10" s="427" t="n">
        <v>331839</v>
      </c>
      <c r="D10" s="427" t="n">
        <v>402836</v>
      </c>
      <c r="E10" s="427" t="n"/>
      <c r="F10" s="284" t="n"/>
      <c r="G10" s="284" t="n"/>
      <c r="H10" s="284" t="n"/>
      <c r="I10" s="284" t="n"/>
      <c r="J10" s="284" t="n"/>
      <c r="K10" s="284" t="n"/>
      <c r="L10" s="284" t="n"/>
      <c r="M10" s="309" t="inlineStr">
        <is>
          <t xml:space="preserve">market-researcher | peer-researcher | as-of: </t>
        </is>
      </c>
    </row>
    <row r="11" ht="17" customHeight="1" s="74">
      <c r="A11" s="259" t="inlineStr">
        <is>
          <t>EBIT Margin</t>
        </is>
      </c>
      <c r="B11" s="428" t="n">
        <v>4.3</v>
      </c>
      <c r="C11" s="428" t="n">
        <v>46.8</v>
      </c>
      <c r="D11" s="428" t="n">
        <v>32</v>
      </c>
      <c r="E11" s="428" t="n"/>
      <c r="F11" s="284" t="n"/>
      <c r="G11" s="284" t="n"/>
      <c r="H11" s="284" t="n"/>
      <c r="I11" s="284" t="n"/>
      <c r="J11" s="284" t="n"/>
      <c r="K11" s="284" t="n"/>
      <c r="L11" s="284" t="n"/>
      <c r="M11" s="309" t="inlineStr">
        <is>
          <t xml:space="preserve">market-researcher | peer-researcher | as-of: </t>
        </is>
      </c>
    </row>
    <row r="12" ht="17" customHeight="1" s="74">
      <c r="A12" s="263" t="inlineStr">
        <is>
          <t>EBITDA Margin</t>
        </is>
      </c>
      <c r="B12" s="429" t="n">
        <v>6.2</v>
      </c>
      <c r="C12" s="429" t="n">
        <v>58.4</v>
      </c>
      <c r="D12" s="429" t="n">
        <v>37.3</v>
      </c>
      <c r="E12" s="429" t="n"/>
      <c r="F12" s="284" t="n"/>
      <c r="G12" s="284" t="n"/>
      <c r="H12" s="284" t="n"/>
      <c r="I12" s="284" t="n"/>
      <c r="J12" s="284" t="n"/>
      <c r="K12" s="284" t="n"/>
      <c r="L12" s="284" t="n"/>
      <c r="M12" s="309" t="inlineStr">
        <is>
          <t xml:space="preserve">market-researcher | peer-researcher | as-of: </t>
        </is>
      </c>
    </row>
    <row r="13" ht="17" customHeight="1" s="74">
      <c r="A13" s="259" t="inlineStr">
        <is>
          <t>Net Margin</t>
        </is>
      </c>
      <c r="B13" s="428" t="n">
        <v>2.9</v>
      </c>
      <c r="C13" s="428" t="n">
        <v>40.3</v>
      </c>
      <c r="D13" s="428" t="n">
        <v>32.8</v>
      </c>
      <c r="E13" s="428" t="n"/>
      <c r="F13" s="284" t="n"/>
      <c r="G13" s="284" t="n"/>
      <c r="H13" s="284" t="n"/>
      <c r="I13" s="284" t="n"/>
      <c r="J13" s="284" t="n"/>
      <c r="K13" s="284" t="n"/>
      <c r="L13" s="284" t="n"/>
      <c r="M13" s="309" t="inlineStr">
        <is>
          <t xml:space="preserve">market-researcher | peer-researcher | as-of: </t>
        </is>
      </c>
    </row>
    <row r="14" ht="17" customHeight="1" s="74">
      <c r="A14" s="263" t="inlineStr">
        <is>
          <t>Gross Margin</t>
        </is>
      </c>
      <c r="B14" s="429" t="n">
        <v>24.9</v>
      </c>
      <c r="C14" s="429" t="n">
        <v>67.90000000000001</v>
      </c>
      <c r="D14" s="429" t="n">
        <v>59.7</v>
      </c>
      <c r="E14" s="429" t="n"/>
      <c r="F14" s="284" t="n"/>
      <c r="G14" s="284" t="n"/>
      <c r="H14" s="284" t="n"/>
      <c r="I14" s="284" t="n"/>
      <c r="J14" s="284" t="n"/>
      <c r="K14" s="284" t="n"/>
      <c r="L14" s="284" t="n"/>
      <c r="M14" s="309" t="inlineStr">
        <is>
          <t xml:space="preserve">market-researcher | peer-researcher | as-of: </t>
        </is>
      </c>
    </row>
    <row r="15" ht="17" customHeight="1" s="74">
      <c r="A15" s="259" t="inlineStr">
        <is>
          <t>FCF Margin</t>
        </is>
      </c>
      <c r="B15" s="428" t="n">
        <v>1.9</v>
      </c>
      <c r="C15" s="428" t="n">
        <v>20.2</v>
      </c>
      <c r="D15" s="428" t="n">
        <v>18.2</v>
      </c>
      <c r="E15" s="428" t="n"/>
      <c r="F15" s="284" t="n"/>
      <c r="G15" s="284" t="n"/>
      <c r="H15" s="284" t="n"/>
      <c r="I15" s="284" t="n"/>
      <c r="J15" s="284" t="n"/>
      <c r="K15" s="284" t="n"/>
      <c r="L15" s="284" t="n"/>
      <c r="M15" s="309" t="inlineStr">
        <is>
          <t xml:space="preserve">market-researcher | peer-researcher | as-of: </t>
        </is>
      </c>
    </row>
    <row r="16" ht="22" customHeight="1" s="74">
      <c r="A16" s="226" t="inlineStr">
        <is>
          <t>RETURNS &amp; EFFICIENCY</t>
        </is>
      </c>
      <c r="F16" s="261" t="n"/>
      <c r="G16" s="261" t="n"/>
      <c r="H16" s="261" t="n"/>
      <c r="I16" s="261" t="n"/>
      <c r="J16" s="261" t="n"/>
      <c r="K16" s="261" t="n"/>
      <c r="L16" s="261" t="n"/>
      <c r="M16" s="261" t="n"/>
    </row>
    <row r="17" ht="17" customHeight="1" s="74">
      <c r="A17" s="263" t="inlineStr">
        <is>
          <t>ROIC</t>
        </is>
      </c>
      <c r="B17" s="429" t="n">
        <v>17.6</v>
      </c>
      <c r="C17" s="429" t="n">
        <v>30.8</v>
      </c>
      <c r="D17" s="429" t="n">
        <v>32.1</v>
      </c>
      <c r="E17" s="429" t="n"/>
      <c r="F17" s="284" t="n"/>
      <c r="G17" s="284" t="n"/>
      <c r="H17" s="284" t="n"/>
      <c r="I17" s="284" t="n"/>
      <c r="J17" s="284" t="n"/>
      <c r="K17" s="284" t="n"/>
      <c r="L17" s="284" t="n"/>
      <c r="M17" s="309" t="inlineStr">
        <is>
          <t xml:space="preserve">market-researcher | peer-researcher | as-of: </t>
        </is>
      </c>
    </row>
    <row r="18" ht="17" customHeight="1" s="74">
      <c r="A18" s="259" t="inlineStr">
        <is>
          <t>ROE</t>
        </is>
      </c>
      <c r="B18" s="428" t="n">
        <v>22.2</v>
      </c>
      <c r="C18" s="428" t="n">
        <v>34</v>
      </c>
      <c r="D18" s="428" t="n">
        <v>35.7</v>
      </c>
      <c r="E18" s="428" t="n"/>
      <c r="F18" s="284" t="n"/>
      <c r="G18" s="284" t="n"/>
      <c r="H18" s="284" t="n"/>
      <c r="I18" s="284" t="n"/>
      <c r="J18" s="284" t="n"/>
      <c r="K18" s="284" t="n"/>
      <c r="L18" s="284" t="n"/>
      <c r="M18" s="309" t="inlineStr">
        <is>
          <t xml:space="preserve">market-researcher | peer-researcher | as-of: </t>
        </is>
      </c>
    </row>
    <row r="19" ht="17" customHeight="1" s="74">
      <c r="A19" s="263" t="inlineStr">
        <is>
          <t>ROA</t>
        </is>
      </c>
      <c r="B19" s="429" t="n">
        <v>7.6</v>
      </c>
      <c r="C19" s="429" t="n">
        <v>19.4</v>
      </c>
      <c r="D19" s="429" t="n">
        <v>25.3</v>
      </c>
      <c r="E19" s="429" t="n"/>
      <c r="F19" s="284" t="n"/>
      <c r="G19" s="284" t="n"/>
      <c r="H19" s="284" t="n"/>
      <c r="I19" s="284" t="n"/>
      <c r="J19" s="284" t="n"/>
      <c r="K19" s="284" t="n"/>
      <c r="L19" s="284" t="n"/>
      <c r="M19" s="309" t="inlineStr">
        <is>
          <t xml:space="preserve">market-researcher | peer-researcher | as-of: </t>
        </is>
      </c>
    </row>
    <row r="20" ht="17" customHeight="1" s="74">
      <c r="A20" s="259" t="inlineStr">
        <is>
          <t>Asset Turnover</t>
        </is>
      </c>
      <c r="B20" s="430" t="n">
        <v>2.65</v>
      </c>
      <c r="C20" s="430" t="n">
        <v>0.48</v>
      </c>
      <c r="D20" s="430" t="n">
        <v>0.77</v>
      </c>
      <c r="E20" s="430" t="n"/>
      <c r="F20" s="284" t="n"/>
      <c r="G20" s="284" t="n"/>
      <c r="H20" s="284" t="n"/>
      <c r="I20" s="284" t="n"/>
      <c r="J20" s="284" t="n"/>
      <c r="K20" s="284" t="n"/>
      <c r="L20" s="284" t="n"/>
      <c r="M20" s="309" t="inlineStr">
        <is>
          <t xml:space="preserve">market-researcher | peer-researcher | as-of: </t>
        </is>
      </c>
    </row>
    <row r="21" ht="22" customHeight="1" s="74">
      <c r="A21" s="226" t="inlineStr">
        <is>
          <t>LEVERAGE</t>
        </is>
      </c>
      <c r="F21" s="261" t="n"/>
      <c r="G21" s="261" t="n"/>
      <c r="H21" s="261" t="n"/>
      <c r="I21" s="261" t="n"/>
      <c r="J21" s="261" t="n"/>
      <c r="K21" s="261" t="n"/>
      <c r="L21" s="261" t="n"/>
      <c r="M21" s="261" t="n"/>
    </row>
    <row r="22" ht="17" customHeight="1" s="74">
      <c r="A22" s="263" t="inlineStr">
        <is>
          <t>Net Debt / EBITDA</t>
        </is>
      </c>
      <c r="B22" s="431" t="n">
        <v>0.71</v>
      </c>
      <c r="C22" s="431" t="n">
        <v>-0.19</v>
      </c>
      <c r="D22" s="431" t="n">
        <v>-0.53</v>
      </c>
      <c r="E22" s="431" t="n"/>
      <c r="F22" s="284" t="n"/>
      <c r="G22" s="284" t="n"/>
      <c r="H22" s="284" t="n"/>
      <c r="I22" s="284" t="n"/>
      <c r="J22" s="284" t="n"/>
      <c r="K22" s="284" t="n"/>
      <c r="L22" s="284" t="n"/>
      <c r="M22" s="309" t="inlineStr">
        <is>
          <t xml:space="preserve">market-researcher | peer-researcher | as-of: </t>
        </is>
      </c>
    </row>
    <row r="23" ht="17" customHeight="1" s="74">
      <c r="A23" s="259" t="inlineStr">
        <is>
          <t>Debt / Equity</t>
        </is>
      </c>
      <c r="B23" s="430" t="n">
        <v>0.43</v>
      </c>
      <c r="C23" s="430" t="n">
        <v>0.09</v>
      </c>
      <c r="D23" s="430" t="n">
        <v>0.11</v>
      </c>
      <c r="E23" s="430" t="n"/>
      <c r="F23" s="284" t="n"/>
      <c r="G23" s="284" t="n"/>
      <c r="H23" s="284" t="n"/>
      <c r="I23" s="284" t="n"/>
      <c r="J23" s="284" t="n"/>
      <c r="K23" s="284" t="n"/>
      <c r="L23" s="284" t="n"/>
      <c r="M23" s="309" t="inlineStr">
        <is>
          <t xml:space="preserve">market-researcher | peer-researcher | as-of: </t>
        </is>
      </c>
    </row>
    <row r="24" ht="17" customHeight="1" s="74">
      <c r="A24" s="263" t="inlineStr">
        <is>
          <t>Interest Coverage</t>
        </is>
      </c>
      <c r="B24" s="429" t="n">
        <v>10.8</v>
      </c>
      <c r="C24" s="429" t="n">
        <v>50.9</v>
      </c>
      <c r="D24" s="429" t="n"/>
      <c r="E24" s="429" t="n"/>
      <c r="F24" s="284" t="n"/>
      <c r="G24" s="284" t="n"/>
      <c r="H24" s="284" t="n"/>
      <c r="I24" s="284" t="n"/>
      <c r="J24" s="284" t="n"/>
      <c r="K24" s="284" t="n"/>
      <c r="L24" s="284" t="n"/>
      <c r="M24" s="309" t="inlineStr">
        <is>
          <t xml:space="preserve">market-researcher | peer-researcher | as-of: </t>
        </is>
      </c>
    </row>
    <row r="25" ht="17" customHeight="1" s="74">
      <c r="A25" s="259" t="inlineStr">
        <is>
          <t>Current Ratio</t>
        </is>
      </c>
      <c r="B25" s="430" t="n">
        <v>0.82</v>
      </c>
      <c r="C25" s="430" t="n">
        <v>1.23</v>
      </c>
      <c r="D25" s="430" t="n">
        <v>2.01</v>
      </c>
      <c r="E25" s="430" t="n"/>
      <c r="F25" s="284" t="n"/>
      <c r="G25" s="284" t="n"/>
      <c r="H25" s="284" t="n"/>
      <c r="I25" s="284" t="n"/>
      <c r="J25" s="284" t="n"/>
      <c r="K25" s="284" t="n"/>
      <c r="L25" s="284" t="n"/>
      <c r="M25" s="309" t="inlineStr">
        <is>
          <t xml:space="preserve">market-researcher | peer-researcher | as-of: </t>
        </is>
      </c>
    </row>
    <row r="26" ht="22" customHeight="1" s="74">
      <c r="A26" s="226" t="inlineStr">
        <is>
          <t>VALUATION MULTIPLES</t>
        </is>
      </c>
      <c r="F26" s="261" t="n"/>
      <c r="G26" s="261" t="n"/>
      <c r="H26" s="261" t="n"/>
      <c r="I26" s="261" t="n"/>
      <c r="J26" s="261" t="n"/>
      <c r="K26" s="261" t="n"/>
      <c r="L26" s="261" t="n"/>
      <c r="M26" s="261" t="n"/>
    </row>
    <row r="27" ht="17" customHeight="1" s="74">
      <c r="A27" s="263" t="inlineStr">
        <is>
          <t>EV / EBITDA</t>
        </is>
      </c>
      <c r="B27" s="429" t="n">
        <v>22.43</v>
      </c>
      <c r="C27" s="429" t="n">
        <v>18.53</v>
      </c>
      <c r="D27" s="429" t="n">
        <v>29.97</v>
      </c>
      <c r="E27" s="429" t="n"/>
      <c r="F27" s="284" t="n"/>
      <c r="G27" s="284" t="n"/>
      <c r="H27" s="284" t="n"/>
      <c r="I27" s="284" t="n"/>
      <c r="J27" s="284" t="n"/>
      <c r="K27" s="284" t="n"/>
      <c r="L27" s="284" t="n"/>
      <c r="M27" s="309" t="inlineStr">
        <is>
          <t xml:space="preserve">market-researcher | peer-researcher | as-of: </t>
        </is>
      </c>
    </row>
    <row r="28" ht="17" customHeight="1" s="74">
      <c r="A28" s="259" t="inlineStr">
        <is>
          <t>P / E</t>
        </is>
      </c>
      <c r="B28" s="428" t="n">
        <v>46.85</v>
      </c>
      <c r="C28" s="428" t="n">
        <v>27.11</v>
      </c>
      <c r="D28" s="428" t="n">
        <v>34.65</v>
      </c>
      <c r="E28" s="428" t="n"/>
      <c r="F28" s="284" t="n"/>
      <c r="G28" s="284" t="n"/>
      <c r="H28" s="284" t="n"/>
      <c r="I28" s="284" t="n"/>
      <c r="J28" s="284" t="n"/>
      <c r="K28" s="284" t="n"/>
      <c r="L28" s="284" t="n"/>
      <c r="M28" s="309" t="inlineStr">
        <is>
          <t xml:space="preserve">market-researcher | peer-researcher | as-of: </t>
        </is>
      </c>
    </row>
    <row r="29" ht="17" customHeight="1" s="74">
      <c r="A29" s="263" t="inlineStr">
        <is>
          <t>FCF Yield</t>
        </is>
      </c>
      <c r="B29" s="429" t="n">
        <v>1.4</v>
      </c>
      <c r="C29" s="429" t="n">
        <v>1.8</v>
      </c>
      <c r="D29" s="429" t="n">
        <v>1.6</v>
      </c>
      <c r="E29" s="429" t="n"/>
      <c r="F29" s="284" t="n"/>
      <c r="G29" s="284" t="n"/>
      <c r="H29" s="284" t="n"/>
      <c r="I29" s="284" t="n"/>
      <c r="J29" s="284" t="n"/>
      <c r="K29" s="284" t="n"/>
      <c r="L29" s="284" t="n"/>
      <c r="M29" s="309" t="inlineStr">
        <is>
          <t xml:space="preserve">market-researcher | peer-researcher | as-of: </t>
        </is>
      </c>
    </row>
    <row r="30" ht="22" customHeight="1" s="74">
      <c r="A30" s="226" t="inlineStr">
        <is>
          <t>WORKING CAPITAL</t>
        </is>
      </c>
      <c r="F30" s="261" t="n"/>
      <c r="G30" s="261" t="n"/>
      <c r="H30" s="261" t="n"/>
      <c r="I30" s="261" t="n"/>
      <c r="J30" s="261" t="n"/>
      <c r="K30" s="261" t="n"/>
      <c r="L30" s="261" t="n"/>
      <c r="M30" s="261" t="n"/>
    </row>
    <row r="31" ht="17" customHeight="1" s="74">
      <c r="A31" s="259" t="inlineStr">
        <is>
          <t>Days Sales Outstanding</t>
        </is>
      </c>
      <c r="B31" s="428" t="n">
        <v>5.3</v>
      </c>
      <c r="C31" s="428" t="n">
        <v>89</v>
      </c>
      <c r="D31" s="428" t="n">
        <v>57</v>
      </c>
      <c r="E31" s="428" t="n"/>
      <c r="F31" s="284" t="n"/>
      <c r="G31" s="284" t="n"/>
      <c r="H31" s="284" t="n"/>
      <c r="I31" s="284" t="n"/>
      <c r="J31" s="284" t="n"/>
      <c r="K31" s="284" t="n"/>
      <c r="L31" s="284" t="n"/>
      <c r="M31" s="309" t="inlineStr">
        <is>
          <t xml:space="preserve">market-researcher | peer-researcher | as-of: </t>
        </is>
      </c>
    </row>
    <row r="32" ht="17" customHeight="1" s="74">
      <c r="A32" s="263" t="inlineStr">
        <is>
          <t>Days Inventory Outstanding</t>
        </is>
      </c>
      <c r="B32" s="429" t="n">
        <v>40.3</v>
      </c>
      <c r="C32" s="429" t="n">
        <v>4.8</v>
      </c>
      <c r="D32" s="429" t="inlineStr">
        <is>
          <t>N/A</t>
        </is>
      </c>
      <c r="E32" s="429" t="n"/>
      <c r="F32" s="284" t="n"/>
      <c r="G32" s="284" t="n"/>
      <c r="H32" s="284" t="n"/>
      <c r="I32" s="284" t="n"/>
      <c r="J32" s="284" t="n"/>
      <c r="K32" s="284" t="n"/>
      <c r="L32" s="284" t="n"/>
      <c r="M32" s="309" t="inlineStr">
        <is>
          <t xml:space="preserve">market-researcher | peer-researcher | as-of: </t>
        </is>
      </c>
    </row>
    <row r="33" ht="17" customHeight="1" s="74">
      <c r="A33" s="259" t="inlineStr">
        <is>
          <t>Days Payables Outstanding</t>
        </is>
      </c>
      <c r="B33" s="428" t="n">
        <v>41.8</v>
      </c>
      <c r="C33" s="428" t="n">
        <v>145.5</v>
      </c>
      <c r="D33" s="428" t="n">
        <v>27.4</v>
      </c>
      <c r="E33" s="428" t="n"/>
      <c r="F33" s="284" t="n"/>
      <c r="G33" s="284" t="n"/>
      <c r="H33" s="284" t="n"/>
      <c r="I33" s="284" t="n"/>
      <c r="J33" s="284" t="n"/>
      <c r="K33" s="284" t="n"/>
      <c r="L33" s="284" t="n"/>
      <c r="M33" s="309" t="inlineStr">
        <is>
          <t xml:space="preserve">market-researcher | peer-researcher | as-of: </t>
        </is>
      </c>
    </row>
    <row r="34" ht="17" customHeight="1" s="74">
      <c r="A34" s="263" t="inlineStr">
        <is>
          <t>Cash Conversion Cycle</t>
        </is>
      </c>
      <c r="B34" s="429" t="n">
        <v>3.8</v>
      </c>
      <c r="C34" s="429" t="n">
        <v>-51.7</v>
      </c>
      <c r="D34" s="429" t="n">
        <v>29.6</v>
      </c>
      <c r="E34" s="429" t="n"/>
      <c r="F34" s="284" t="n"/>
      <c r="G34" s="284" t="n"/>
      <c r="H34" s="284" t="n"/>
      <c r="I34" s="284" t="n"/>
      <c r="J34" s="284" t="n"/>
      <c r="K34" s="284" t="n"/>
      <c r="L34" s="284" t="n"/>
      <c r="M34" s="309" t="inlineStr">
        <is>
          <t xml:space="preserve">market-researcher | peer-researcher | as-of: </t>
        </is>
      </c>
    </row>
    <row r="35" ht="17" customHeight="1" s="74">
      <c r="A35" s="259" t="inlineStr">
        <is>
          <t>CapEx / Revenue</t>
        </is>
      </c>
      <c r="B35" s="428" t="n">
        <v>3.5</v>
      </c>
      <c r="C35" s="428" t="n">
        <v>34.9</v>
      </c>
      <c r="D35" s="428" t="n">
        <v>22.7</v>
      </c>
      <c r="E35" s="428" t="n"/>
      <c r="F35" s="284" t="n"/>
      <c r="G35" s="284" t="n"/>
      <c r="H35" s="284" t="n"/>
      <c r="I35" s="284" t="n"/>
      <c r="J35" s="284" t="n"/>
      <c r="K35" s="284" t="n"/>
      <c r="L35" s="284" t="n"/>
      <c r="M35" s="309" t="inlineStr">
        <is>
          <t xml:space="preserve">market-researcher | peer-researcher | as-of: </t>
        </is>
      </c>
    </row>
    <row r="36" ht="17" customHeight="1" s="74">
      <c r="A36" s="498" t="n"/>
      <c r="B36" s="499" t="n"/>
      <c r="C36" s="499" t="n"/>
      <c r="D36" s="499" t="n"/>
      <c r="E36" s="499" t="n"/>
      <c r="F36" s="284" t="n"/>
      <c r="G36" s="284" t="n"/>
      <c r="H36" s="284" t="n"/>
      <c r="I36" s="284" t="n"/>
      <c r="J36" s="284" t="n"/>
      <c r="K36" s="284" t="n"/>
      <c r="L36" s="284" t="n"/>
      <c r="M36" s="261" t="n"/>
    </row>
    <row r="37" ht="17" customHeight="1" s="74">
      <c r="A37" s="498" t="n"/>
      <c r="B37" s="499" t="n"/>
      <c r="C37" s="499" t="n"/>
      <c r="D37" s="499" t="n"/>
      <c r="E37" s="499" t="n"/>
      <c r="F37" s="284" t="n"/>
      <c r="G37" s="284" t="n"/>
      <c r="H37" s="284" t="n"/>
      <c r="I37" s="284" t="n"/>
      <c r="J37" s="284" t="n"/>
      <c r="K37" s="284" t="n"/>
      <c r="L37" s="284" t="n"/>
      <c r="M37" s="261" t="n"/>
    </row>
    <row r="38" ht="17" customHeight="1" s="74">
      <c r="A38" s="498" t="n"/>
      <c r="B38" s="499" t="n"/>
      <c r="C38" s="499" t="n"/>
      <c r="D38" s="499" t="n"/>
      <c r="E38" s="499" t="n"/>
      <c r="F38" s="284" t="n"/>
      <c r="G38" s="284" t="n"/>
      <c r="H38" s="284" t="n"/>
      <c r="I38" s="284" t="n"/>
      <c r="J38" s="284" t="n"/>
      <c r="K38" s="284" t="n"/>
      <c r="L38" s="284" t="n"/>
      <c r="M38" s="261" t="n"/>
    </row>
    <row r="39" ht="17" customHeight="1" s="74">
      <c r="A39" s="498" t="n"/>
      <c r="B39" s="499" t="n"/>
      <c r="C39" s="499" t="n"/>
      <c r="D39" s="499" t="n"/>
      <c r="E39" s="499" t="n"/>
      <c r="F39" s="284" t="n"/>
      <c r="G39" s="284" t="n"/>
      <c r="H39" s="284" t="n"/>
      <c r="I39" s="284" t="n"/>
      <c r="J39" s="284" t="n"/>
      <c r="K39" s="284" t="n"/>
      <c r="L39" s="284" t="n"/>
      <c r="M39" s="261" t="n"/>
    </row>
    <row r="40" ht="17" customHeight="1" s="74">
      <c r="A40" s="498" t="n"/>
      <c r="B40" s="499" t="n"/>
      <c r="C40" s="499" t="n"/>
      <c r="D40" s="499" t="n"/>
      <c r="E40" s="499" t="n"/>
      <c r="F40" s="200" t="n"/>
      <c r="G40" s="200" t="n"/>
      <c r="H40" s="200" t="n"/>
      <c r="I40" s="200" t="n"/>
      <c r="J40" s="200" t="n"/>
      <c r="K40" s="200" t="n"/>
      <c r="L40" s="200" t="n"/>
    </row>
    <row r="41" ht="17" customHeight="1" s="74">
      <c r="A41" s="498" t="n"/>
      <c r="B41" s="499" t="n"/>
      <c r="C41" s="499" t="n"/>
      <c r="D41" s="499" t="n"/>
      <c r="E41" s="499" t="n"/>
      <c r="F41" s="200" t="n"/>
      <c r="G41" s="200" t="n"/>
      <c r="H41" s="200" t="n"/>
      <c r="I41" s="200" t="n"/>
      <c r="J41" s="200" t="n"/>
      <c r="K41" s="200" t="n"/>
      <c r="L41" s="200" t="n"/>
    </row>
    <row r="42" ht="17" customHeight="1" s="74">
      <c r="A42" s="498" t="n"/>
      <c r="B42" s="499" t="n"/>
      <c r="C42" s="499" t="n"/>
      <c r="D42" s="499" t="n"/>
      <c r="E42" s="499" t="n"/>
      <c r="F42" s="200" t="n"/>
      <c r="G42" s="200" t="n"/>
      <c r="H42" s="200" t="n"/>
      <c r="I42" s="200" t="n"/>
      <c r="J42" s="200" t="n"/>
      <c r="K42" s="200" t="n"/>
      <c r="L42" s="200" t="n"/>
    </row>
    <row r="43" ht="17" customHeight="1" s="74">
      <c r="A43" s="498" t="n"/>
      <c r="B43" s="499" t="n"/>
      <c r="C43" s="499" t="n"/>
      <c r="D43" s="499" t="n"/>
      <c r="E43" s="499" t="n"/>
      <c r="F43" s="200" t="n"/>
      <c r="G43" s="200" t="n"/>
      <c r="H43" s="200" t="n"/>
      <c r="I43" s="200" t="n"/>
      <c r="J43" s="200" t="n"/>
      <c r="K43" s="200" t="n"/>
      <c r="L43" s="200" t="n"/>
    </row>
    <row r="44" ht="17" customHeight="1" s="74">
      <c r="A44" s="498" t="n"/>
      <c r="B44" s="499" t="n"/>
      <c r="C44" s="499" t="n"/>
      <c r="D44" s="499" t="n"/>
      <c r="E44" s="499" t="n"/>
      <c r="F44" s="200" t="n"/>
      <c r="G44" s="200" t="n"/>
      <c r="H44" s="200" t="n"/>
      <c r="I44" s="200" t="n"/>
      <c r="J44" s="200" t="n"/>
      <c r="K44" s="200" t="n"/>
      <c r="L44" s="200" t="n"/>
    </row>
    <row r="45" ht="17" customHeight="1" s="74">
      <c r="A45" s="498" t="n"/>
      <c r="B45" s="499" t="n"/>
      <c r="C45" s="499" t="n"/>
      <c r="D45" s="499" t="n"/>
      <c r="E45" s="499" t="n"/>
      <c r="F45" s="200" t="n"/>
      <c r="G45" s="200" t="n"/>
      <c r="H45" s="200" t="n"/>
      <c r="I45" s="200" t="n"/>
      <c r="J45" s="200" t="n"/>
      <c r="K45" s="200" t="n"/>
      <c r="L45" s="200" t="n"/>
    </row>
    <row r="46" ht="17" customHeight="1" s="74">
      <c r="A46" s="498" t="n"/>
      <c r="B46" s="499" t="n"/>
      <c r="C46" s="499" t="n"/>
      <c r="D46" s="499" t="n"/>
      <c r="E46" s="499" t="n"/>
      <c r="F46" s="200" t="n"/>
      <c r="G46" s="200" t="n"/>
      <c r="H46" s="200" t="n"/>
      <c r="I46" s="200" t="n"/>
      <c r="J46" s="200" t="n"/>
      <c r="K46" s="200" t="n"/>
      <c r="L46" s="200" t="n"/>
    </row>
    <row r="47" ht="17" customHeight="1" s="74">
      <c r="A47" s="498" t="n"/>
      <c r="B47" s="499" t="n"/>
      <c r="C47" s="499" t="n"/>
      <c r="D47" s="499" t="n"/>
      <c r="E47" s="499" t="n"/>
      <c r="F47" s="200" t="n"/>
      <c r="G47" s="200" t="n"/>
      <c r="H47" s="200" t="n"/>
      <c r="I47" s="200" t="n"/>
      <c r="J47" s="200" t="n"/>
      <c r="K47" s="200" t="n"/>
      <c r="L47" s="200" t="n"/>
    </row>
    <row r="48" ht="17" customHeight="1" s="74">
      <c r="A48" s="498" t="n"/>
      <c r="B48" s="499" t="n"/>
      <c r="C48" s="499" t="n"/>
      <c r="D48" s="499" t="n"/>
      <c r="E48" s="499" t="n"/>
      <c r="F48" s="200" t="n"/>
      <c r="G48" s="200" t="n"/>
      <c r="H48" s="200" t="n"/>
      <c r="I48" s="200" t="n"/>
      <c r="J48" s="200" t="n"/>
      <c r="K48" s="200" t="n"/>
      <c r="L48" s="200" t="n"/>
    </row>
    <row r="49" ht="22" customHeight="1" s="74">
      <c r="A49" s="296" t="inlineStr">
        <is>
          <t>DATA QUALITY FLAGS</t>
        </is>
      </c>
      <c r="B49" s="491" t="n"/>
      <c r="C49" s="491" t="n"/>
      <c r="D49" s="491" t="n"/>
      <c r="E49" s="491" t="n"/>
    </row>
    <row r="50" ht="17" customHeight="1" s="74">
      <c r="A50" s="310" t="inlineStr">
        <is>
          <t>Revenue</t>
        </is>
      </c>
      <c r="B50" s="311" t="inlineStr">
        <is>
          <t>PERIOD_LAG_11M</t>
        </is>
      </c>
      <c r="C50" s="311" t="inlineStr">
        <is>
          <t>PERIOD_LEAD_6M</t>
        </is>
      </c>
      <c r="D50" s="311" t="inlineStr">
        <is>
          <t>OK</t>
        </is>
      </c>
      <c r="E50" s="501" t="n"/>
      <c r="F50" s="200" t="n"/>
      <c r="G50" s="200" t="n"/>
      <c r="H50" s="200" t="n"/>
      <c r="I50" s="200" t="n"/>
      <c r="J50" s="200" t="n"/>
      <c r="K50" s="200" t="n"/>
      <c r="L50" s="200" t="n"/>
      <c r="M50" s="308" t="inlineStr">
        <is>
          <t xml:space="preserve">market-researcher | peer-researcher | as-of: </t>
        </is>
      </c>
    </row>
    <row r="51" ht="17" customHeight="1" s="74">
      <c r="A51" s="310" t="inlineStr">
        <is>
          <t>EBIT Margin</t>
        </is>
      </c>
      <c r="B51" s="311" t="inlineStr">
        <is>
          <t>PERIOD_LAG_11M</t>
        </is>
      </c>
      <c r="C51" s="311" t="inlineStr">
        <is>
          <t>PERIOD_LEAD_6M</t>
        </is>
      </c>
      <c r="D51" s="311" t="inlineStr">
        <is>
          <t>OK</t>
        </is>
      </c>
      <c r="E51" s="501" t="n"/>
      <c r="F51" s="200" t="n"/>
      <c r="G51" s="200" t="n"/>
      <c r="H51" s="200" t="n"/>
      <c r="I51" s="200" t="n"/>
      <c r="J51" s="200" t="n"/>
      <c r="K51" s="200" t="n"/>
      <c r="L51" s="200" t="n"/>
      <c r="M51" s="308" t="inlineStr">
        <is>
          <t xml:space="preserve">market-researcher | peer-researcher | as-of: </t>
        </is>
      </c>
    </row>
    <row r="52" ht="17" customHeight="1" s="74">
      <c r="A52" s="310" t="inlineStr">
        <is>
          <t>EBITDA Margin</t>
        </is>
      </c>
      <c r="B52" s="311" t="inlineStr">
        <is>
          <t>PERIOD_LAG_11M</t>
        </is>
      </c>
      <c r="C52" s="311" t="inlineStr">
        <is>
          <t>PERIOD_LEAD_6M</t>
        </is>
      </c>
      <c r="D52" s="311" t="inlineStr">
        <is>
          <t>OK</t>
        </is>
      </c>
      <c r="E52" s="501" t="n"/>
      <c r="F52" s="200" t="n"/>
      <c r="G52" s="200" t="n"/>
      <c r="H52" s="200" t="n"/>
      <c r="I52" s="200" t="n"/>
      <c r="J52" s="200" t="n"/>
      <c r="K52" s="200" t="n"/>
      <c r="L52" s="200" t="n"/>
      <c r="M52" s="308" t="inlineStr">
        <is>
          <t xml:space="preserve">market-researcher | peer-researcher | as-of: </t>
        </is>
      </c>
    </row>
    <row r="53" ht="17" customHeight="1" s="74">
      <c r="A53" s="310" t="inlineStr">
        <is>
          <t>Net Margin</t>
        </is>
      </c>
      <c r="B53" s="311" t="inlineStr">
        <is>
          <t>PERIOD_LAG_11M</t>
        </is>
      </c>
      <c r="C53" s="311" t="inlineStr">
        <is>
          <t>PERIOD_LEAD_6M</t>
        </is>
      </c>
      <c r="D53" s="311" t="inlineStr">
        <is>
          <t>EQUITY_MARK_DISTORTED</t>
        </is>
      </c>
      <c r="E53" s="501" t="n"/>
      <c r="F53" s="200" t="n"/>
      <c r="G53" s="200" t="n"/>
      <c r="H53" s="200" t="n"/>
      <c r="I53" s="200" t="n"/>
      <c r="J53" s="200" t="n"/>
      <c r="K53" s="200" t="n"/>
      <c r="L53" s="200" t="n"/>
      <c r="M53" s="308" t="inlineStr">
        <is>
          <t xml:space="preserve">market-researcher | peer-researcher | as-of: </t>
        </is>
      </c>
    </row>
    <row r="54" ht="17" customHeight="1" s="74">
      <c r="A54" s="310" t="inlineStr">
        <is>
          <t>Gross Margin</t>
        </is>
      </c>
      <c r="B54" s="311" t="inlineStr">
        <is>
          <t>LOW_COMPARABILITY</t>
        </is>
      </c>
      <c r="C54" s="311" t="inlineStr">
        <is>
          <t>LOW_COMPARABILITY</t>
        </is>
      </c>
      <c r="D54" s="311" t="inlineStr">
        <is>
          <t>LOW_COMPARABILITY</t>
        </is>
      </c>
      <c r="E54" s="501" t="n"/>
      <c r="F54" s="200" t="n"/>
      <c r="G54" s="200" t="n"/>
      <c r="H54" s="200" t="n"/>
      <c r="I54" s="200" t="n"/>
      <c r="J54" s="200" t="n"/>
      <c r="K54" s="200" t="n"/>
      <c r="L54" s="200" t="n"/>
      <c r="M54" s="308" t="inlineStr">
        <is>
          <t xml:space="preserve">market-researcher | peer-researcher | as-of: </t>
        </is>
      </c>
    </row>
    <row r="55" ht="17" customHeight="1" s="74">
      <c r="A55" s="310" t="inlineStr">
        <is>
          <t>FCF Margin</t>
        </is>
      </c>
      <c r="B55" s="311" t="inlineStr">
        <is>
          <t>PERIOD_LAG_11M</t>
        </is>
      </c>
      <c r="C55" s="311" t="inlineStr">
        <is>
          <t>PERIOD_LEAD_6M</t>
        </is>
      </c>
      <c r="D55" s="311" t="inlineStr">
        <is>
          <t>OK</t>
        </is>
      </c>
      <c r="E55" s="501" t="n"/>
      <c r="F55" s="200" t="n"/>
      <c r="G55" s="200" t="n"/>
      <c r="H55" s="200" t="n"/>
      <c r="I55" s="200" t="n"/>
      <c r="J55" s="200" t="n"/>
      <c r="K55" s="200" t="n"/>
      <c r="L55" s="200" t="n"/>
      <c r="M55" s="308" t="inlineStr">
        <is>
          <t xml:space="preserve">market-researcher | peer-researcher | as-of: </t>
        </is>
      </c>
    </row>
    <row r="56" ht="17" customHeight="1" s="74">
      <c r="A56" s="310" t="inlineStr">
        <is>
          <t>ROIC</t>
        </is>
      </c>
      <c r="B56" s="311" t="inlineStr">
        <is>
          <t>COMPUTED</t>
        </is>
      </c>
      <c r="C56" s="311" t="inlineStr">
        <is>
          <t>COMPUTED</t>
        </is>
      </c>
      <c r="D56" s="311" t="inlineStr">
        <is>
          <t>COMPUTED</t>
        </is>
      </c>
      <c r="E56" s="501" t="n"/>
      <c r="F56" s="200" t="n"/>
      <c r="G56" s="200" t="n"/>
      <c r="H56" s="200" t="n"/>
      <c r="I56" s="200" t="n"/>
      <c r="J56" s="200" t="n"/>
      <c r="K56" s="200" t="n"/>
      <c r="L56" s="200" t="n"/>
      <c r="M56" s="308" t="inlineStr">
        <is>
          <t xml:space="preserve">market-researcher | peer-researcher | as-of: </t>
        </is>
      </c>
    </row>
    <row r="57" ht="17" customHeight="1" s="74">
      <c r="A57" s="310" t="inlineStr">
        <is>
          <t>ROE</t>
        </is>
      </c>
      <c r="B57" s="311" t="inlineStr">
        <is>
          <t>PERIOD_LAG_11M</t>
        </is>
      </c>
      <c r="C57" s="311" t="inlineStr">
        <is>
          <t>PERIOD_LEAD_6M</t>
        </is>
      </c>
      <c r="D57" s="311" t="inlineStr">
        <is>
          <t>EQUITY_MARK_DISTORTED</t>
        </is>
      </c>
      <c r="E57" s="501" t="n"/>
      <c r="F57" s="200" t="n"/>
      <c r="G57" s="200" t="n"/>
      <c r="H57" s="200" t="n"/>
      <c r="I57" s="200" t="n"/>
      <c r="J57" s="200" t="n"/>
      <c r="K57" s="200" t="n"/>
      <c r="L57" s="200" t="n"/>
      <c r="M57" s="308" t="inlineStr">
        <is>
          <t xml:space="preserve">market-researcher | peer-researcher | as-of: </t>
        </is>
      </c>
    </row>
    <row r="58" ht="17" customHeight="1" s="74">
      <c r="A58" s="310" t="inlineStr">
        <is>
          <t>ROA</t>
        </is>
      </c>
      <c r="B58" s="501" t="n"/>
      <c r="C58" s="501" t="n"/>
      <c r="D58" s="501" t="n"/>
      <c r="E58" s="501" t="n"/>
      <c r="F58" s="200" t="n"/>
      <c r="G58" s="200" t="n"/>
      <c r="H58" s="200" t="n"/>
      <c r="I58" s="200" t="n"/>
      <c r="J58" s="200" t="n"/>
      <c r="K58" s="200" t="n"/>
      <c r="L58" s="200" t="n"/>
      <c r="M58" s="308" t="n"/>
    </row>
    <row r="59" ht="17" customHeight="1" s="74">
      <c r="A59" s="310" t="inlineStr">
        <is>
          <t>Asset Turnover</t>
        </is>
      </c>
      <c r="B59" s="501" t="n"/>
      <c r="C59" s="501" t="n"/>
      <c r="D59" s="501" t="n"/>
      <c r="E59" s="501" t="n"/>
      <c r="F59" s="200" t="n"/>
      <c r="G59" s="200" t="n"/>
      <c r="H59" s="200" t="n"/>
      <c r="I59" s="200" t="n"/>
      <c r="J59" s="200" t="n"/>
      <c r="K59" s="200" t="n"/>
      <c r="L59" s="200" t="n"/>
      <c r="M59" s="308" t="n"/>
    </row>
    <row r="60" ht="17" customHeight="1" s="74">
      <c r="A60" s="310" t="inlineStr">
        <is>
          <t>Net Debt / EBITDA</t>
        </is>
      </c>
      <c r="B60" s="311" t="inlineStr">
        <is>
          <t>PERIOD_LAG_11M</t>
        </is>
      </c>
      <c r="C60" s="311" t="inlineStr">
        <is>
          <t>PERIOD_LEAD_6M</t>
        </is>
      </c>
      <c r="D60" s="311" t="inlineStr">
        <is>
          <t>OK</t>
        </is>
      </c>
      <c r="E60" s="501" t="n"/>
      <c r="F60" s="200" t="n"/>
      <c r="G60" s="200" t="n"/>
      <c r="H60" s="200" t="n"/>
      <c r="I60" s="200" t="n"/>
      <c r="J60" s="200" t="n"/>
      <c r="K60" s="200" t="n"/>
      <c r="L60" s="200" t="n"/>
      <c r="M60" s="308" t="inlineStr">
        <is>
          <t xml:space="preserve">market-researcher | peer-researcher | as-of: </t>
        </is>
      </c>
    </row>
    <row r="61" ht="17" customHeight="1" s="74">
      <c r="A61" s="310" t="inlineStr">
        <is>
          <t>EV / EBITDA</t>
        </is>
      </c>
      <c r="B61" s="311" t="inlineStr">
        <is>
          <t>MARKET_SOURCED_PERIOD_LAG</t>
        </is>
      </c>
      <c r="C61" s="311" t="inlineStr">
        <is>
          <t>MARKET_SOURCED</t>
        </is>
      </c>
      <c r="D61" s="311" t="inlineStr">
        <is>
          <t>MARKET_SOURCED</t>
        </is>
      </c>
      <c r="E61" s="501" t="n"/>
      <c r="F61" s="200" t="n"/>
      <c r="G61" s="200" t="n"/>
      <c r="H61" s="200" t="n"/>
      <c r="I61" s="200" t="n"/>
      <c r="J61" s="200" t="n"/>
      <c r="K61" s="200" t="n"/>
      <c r="L61" s="200" t="n"/>
      <c r="M61" s="308" t="inlineStr">
        <is>
          <t xml:space="preserve">market-researcher | peer-researcher | as-of: </t>
        </is>
      </c>
    </row>
    <row r="62" ht="17" customHeight="1" s="74">
      <c r="A62" s="310" t="inlineStr">
        <is>
          <t>P / E</t>
        </is>
      </c>
      <c r="B62" s="311" t="inlineStr">
        <is>
          <t>MARKET_SOURCED_PERIOD_LAG</t>
        </is>
      </c>
      <c r="C62" s="311" t="inlineStr">
        <is>
          <t>MARKET_SOURCED</t>
        </is>
      </c>
      <c r="D62" s="311" t="inlineStr">
        <is>
          <t>MARKET_SOURCED_EQUITY_MARK</t>
        </is>
      </c>
      <c r="E62" s="501" t="n"/>
      <c r="F62" s="200" t="n"/>
      <c r="G62" s="200" t="n"/>
      <c r="H62" s="200" t="n"/>
      <c r="I62" s="200" t="n"/>
      <c r="J62" s="200" t="n"/>
      <c r="K62" s="200" t="n"/>
      <c r="L62" s="200" t="n"/>
      <c r="M62" s="308" t="inlineStr">
        <is>
          <t xml:space="preserve">market-researcher | peer-researcher | as-of: </t>
        </is>
      </c>
    </row>
  </sheetData>
  <mergeCells count="6">
    <mergeCell ref="A21:E21"/>
    <mergeCell ref="A30:E30"/>
    <mergeCell ref="A26:E26"/>
    <mergeCell ref="A16:E16"/>
    <mergeCell ref="A1:E1"/>
    <mergeCell ref="A8:E8"/>
  </mergeCells>
  <pageMargins left="0.75" right="0.75" top="1" bottom="1" header="0.5" footer="0.5"/>
  <drawing xmlns:r="http://schemas.openxmlformats.org/officeDocument/2006/relationships" r:id="rId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2:C75"/>
  <sheetViews>
    <sheetView showGridLines="1" zoomScale="100" workbookViewId="0">
      <selection activeCell="A1" sqref="A1"/>
    </sheetView>
  </sheetViews>
  <sheetFormatPr baseColWidth="8" defaultRowHeight="15"/>
  <sheetData>
    <row r="1" ht="57.75" customHeight="1" s="74"/>
    <row r="2">
      <c r="A2" s="308" t="inlineStr">
        <is>
          <t>Month</t>
        </is>
      </c>
      <c r="B2" s="308" t="inlineStr">
        <is>
          <t>AMZN adjClose</t>
        </is>
      </c>
      <c r="C2" s="308" t="inlineStr">
        <is>
          <t>SPY adjClose (market proxy)</t>
        </is>
      </c>
    </row>
    <row r="3">
      <c r="A3" s="308" t="inlineStr">
        <is>
          <t>2020-08</t>
        </is>
      </c>
      <c r="B3" s="308" t="n">
        <v>172.548</v>
      </c>
      <c r="C3" s="308" t="n">
        <v>321.5860184424</v>
      </c>
    </row>
    <row r="4">
      <c r="A4" s="308" t="inlineStr">
        <is>
          <t>2020-09</t>
        </is>
      </c>
      <c r="B4" s="308" t="n">
        <v>157.4365</v>
      </c>
      <c r="C4" s="308" t="n">
        <v>309.5592456058</v>
      </c>
    </row>
    <row r="5">
      <c r="A5" s="308" t="inlineStr">
        <is>
          <t>2020-10</t>
        </is>
      </c>
      <c r="B5" s="308" t="n">
        <v>151.8075</v>
      </c>
      <c r="C5" s="308" t="n">
        <v>301.8408314973</v>
      </c>
    </row>
    <row r="6">
      <c r="A6" s="308" t="inlineStr">
        <is>
          <t>2020-11</t>
        </is>
      </c>
      <c r="B6" s="308" t="n">
        <v>158.402</v>
      </c>
      <c r="C6" s="308" t="n">
        <v>334.6741331902</v>
      </c>
    </row>
    <row r="7">
      <c r="A7" s="308" t="inlineStr">
        <is>
          <t>2020-12</t>
        </is>
      </c>
      <c r="B7" s="308" t="n">
        <v>162.8465</v>
      </c>
      <c r="C7" s="308" t="n">
        <v>347.0791635841</v>
      </c>
    </row>
    <row r="8">
      <c r="A8" s="308" t="inlineStr">
        <is>
          <t>2021-01</t>
        </is>
      </c>
      <c r="B8" s="308" t="n">
        <v>160.31</v>
      </c>
      <c r="C8" s="308" t="n">
        <v>343.5422757772</v>
      </c>
    </row>
    <row r="9">
      <c r="A9" s="308" t="inlineStr">
        <is>
          <t>2021-02</t>
        </is>
      </c>
      <c r="B9" s="308" t="n">
        <v>154.6465</v>
      </c>
      <c r="C9" s="308" t="n">
        <v>353.0946578069</v>
      </c>
    </row>
    <row r="10">
      <c r="A10" s="308" t="inlineStr">
        <is>
          <t>2021-03</t>
        </is>
      </c>
      <c r="B10" s="308" t="n">
        <v>154.704</v>
      </c>
      <c r="C10" s="308" t="n">
        <v>369.1269350071</v>
      </c>
    </row>
    <row r="11">
      <c r="A11" s="308" t="inlineStr">
        <is>
          <t>2021-04</t>
        </is>
      </c>
      <c r="B11" s="308" t="n">
        <v>173.371</v>
      </c>
      <c r="C11" s="308" t="n">
        <v>388.6576085041</v>
      </c>
    </row>
    <row r="12">
      <c r="A12" s="308" t="inlineStr">
        <is>
          <t>2021-05</t>
        </is>
      </c>
      <c r="B12" s="308" t="n">
        <v>161.1535</v>
      </c>
      <c r="C12" s="308" t="n">
        <v>391.2095419988</v>
      </c>
    </row>
    <row r="13">
      <c r="A13" s="308" t="inlineStr">
        <is>
          <t>2021-06</t>
        </is>
      </c>
      <c r="B13" s="308" t="n">
        <v>172.008</v>
      </c>
      <c r="C13" s="308" t="n">
        <v>400.0010900298</v>
      </c>
    </row>
    <row r="14">
      <c r="A14" s="308" t="inlineStr">
        <is>
          <t>2021-07</t>
        </is>
      </c>
      <c r="B14" s="308" t="n">
        <v>166.3795</v>
      </c>
      <c r="C14" s="308" t="n">
        <v>409.766102857</v>
      </c>
    </row>
    <row r="15">
      <c r="A15" s="308" t="inlineStr">
        <is>
          <t>2021-08</t>
        </is>
      </c>
      <c r="B15" s="308" t="n">
        <v>173.5395</v>
      </c>
      <c r="C15" s="308" t="n">
        <v>421.9606882536</v>
      </c>
    </row>
    <row r="16">
      <c r="A16" s="308" t="inlineStr">
        <is>
          <t>2021-09</t>
        </is>
      </c>
      <c r="B16" s="308" t="n">
        <v>164.252</v>
      </c>
      <c r="C16" s="308" t="n">
        <v>402.3077362055</v>
      </c>
    </row>
    <row r="17">
      <c r="A17" s="308" t="inlineStr">
        <is>
          <t>2021-10</t>
        </is>
      </c>
      <c r="B17" s="308" t="n">
        <v>168.6215</v>
      </c>
      <c r="C17" s="308" t="n">
        <v>430.5350884382</v>
      </c>
    </row>
    <row r="18">
      <c r="A18" s="308" t="inlineStr">
        <is>
          <t>2021-11</t>
        </is>
      </c>
      <c r="B18" s="308" t="n">
        <v>175.3535</v>
      </c>
      <c r="C18" s="308" t="n">
        <v>427.0758081414</v>
      </c>
    </row>
    <row r="19">
      <c r="A19" s="308" t="inlineStr">
        <is>
          <t>2021-12</t>
        </is>
      </c>
      <c r="B19" s="308" t="n">
        <v>166.717</v>
      </c>
      <c r="C19" s="308" t="n">
        <v>446.8444096561</v>
      </c>
    </row>
    <row r="20">
      <c r="A20" s="308" t="inlineStr">
        <is>
          <t>2022-01</t>
        </is>
      </c>
      <c r="B20" s="308" t="n">
        <v>149.5735</v>
      </c>
      <c r="C20" s="308" t="n">
        <v>423.2772619766</v>
      </c>
    </row>
    <row r="21">
      <c r="A21" s="308" t="inlineStr">
        <is>
          <t>2022-02</t>
        </is>
      </c>
      <c r="B21" s="308" t="n">
        <v>153.563</v>
      </c>
      <c r="C21" s="308" t="n">
        <v>410.7833808913</v>
      </c>
    </row>
    <row r="22">
      <c r="A22" s="308" t="inlineStr">
        <is>
          <t>2022-03</t>
        </is>
      </c>
      <c r="B22" s="308" t="n">
        <v>162.9975</v>
      </c>
      <c r="C22" s="308" t="n">
        <v>426.21058511</v>
      </c>
    </row>
    <row r="23">
      <c r="A23" s="308" t="inlineStr">
        <is>
          <t>2022-04</t>
        </is>
      </c>
      <c r="B23" s="308" t="n">
        <v>124.2815</v>
      </c>
      <c r="C23" s="308" t="n">
        <v>388.8024999232</v>
      </c>
    </row>
    <row r="24">
      <c r="A24" s="308" t="inlineStr">
        <is>
          <t>2022-05</t>
        </is>
      </c>
      <c r="B24" s="308" t="n">
        <v>120.2095</v>
      </c>
      <c r="C24" s="308" t="n">
        <v>389.6801366342</v>
      </c>
    </row>
    <row r="25">
      <c r="A25" s="308" t="inlineStr">
        <is>
          <t>2022-06</t>
        </is>
      </c>
      <c r="B25" s="308" t="n">
        <v>106.21</v>
      </c>
      <c r="C25" s="308" t="n">
        <v>357.543498354</v>
      </c>
    </row>
    <row r="26">
      <c r="A26" s="308" t="inlineStr">
        <is>
          <t>2022-07</t>
        </is>
      </c>
      <c r="B26" s="308" t="n">
        <v>134.95</v>
      </c>
      <c r="C26" s="308" t="n">
        <v>390.4687763734</v>
      </c>
    </row>
    <row r="27">
      <c r="A27" s="308" t="inlineStr">
        <is>
          <t>2022-08</t>
        </is>
      </c>
      <c r="B27" s="308" t="n">
        <v>126.77</v>
      </c>
      <c r="C27" s="308" t="n">
        <v>374.536884505</v>
      </c>
    </row>
    <row r="28">
      <c r="A28" s="308" t="inlineStr">
        <is>
          <t>2022-09</t>
        </is>
      </c>
      <c r="B28" s="308" t="n">
        <v>113</v>
      </c>
      <c r="C28" s="308" t="n">
        <v>339.9235382673</v>
      </c>
    </row>
    <row r="29">
      <c r="A29" s="308" t="inlineStr">
        <is>
          <t>2022-10</t>
        </is>
      </c>
      <c r="B29" s="308" t="n">
        <v>102.44</v>
      </c>
      <c r="C29" s="308" t="n">
        <v>367.5510098947</v>
      </c>
    </row>
    <row r="30">
      <c r="A30" s="308" t="inlineStr">
        <is>
          <t>2022-11</t>
        </is>
      </c>
      <c r="B30" s="308" t="n">
        <v>96.54000000000001</v>
      </c>
      <c r="C30" s="308" t="n">
        <v>387.9837283185</v>
      </c>
    </row>
    <row r="31">
      <c r="A31" s="308" t="inlineStr">
        <is>
          <t>2022-12</t>
        </is>
      </c>
      <c r="B31" s="308" t="n">
        <v>84</v>
      </c>
      <c r="C31" s="308" t="n">
        <v>365.645252784</v>
      </c>
    </row>
    <row r="32">
      <c r="A32" s="308" t="inlineStr">
        <is>
          <t>2023-01</t>
        </is>
      </c>
      <c r="B32" s="308" t="n">
        <v>103.13</v>
      </c>
      <c r="C32" s="308" t="n">
        <v>388.6397049176</v>
      </c>
    </row>
    <row r="33">
      <c r="A33" s="308" t="inlineStr">
        <is>
          <t>2023-02</t>
        </is>
      </c>
      <c r="B33" s="308" t="n">
        <v>94.23</v>
      </c>
      <c r="C33" s="308" t="n">
        <v>378.8682578986</v>
      </c>
    </row>
    <row r="34">
      <c r="A34" s="308" t="inlineStr">
        <is>
          <t>2023-03</t>
        </is>
      </c>
      <c r="B34" s="308" t="n">
        <v>103.29</v>
      </c>
      <c r="C34" s="308" t="n">
        <v>392.9337203794</v>
      </c>
    </row>
    <row r="35">
      <c r="A35" s="308" t="inlineStr">
        <is>
          <t>2023-04</t>
        </is>
      </c>
      <c r="B35" s="308" t="n">
        <v>105.45</v>
      </c>
      <c r="C35" s="308" t="n">
        <v>399.2108315235</v>
      </c>
    </row>
    <row r="36">
      <c r="A36" s="308" t="inlineStr">
        <is>
          <t>2023-05</t>
        </is>
      </c>
      <c r="B36" s="308" t="n">
        <v>120.58</v>
      </c>
      <c r="C36" s="308" t="n">
        <v>401.0536531438</v>
      </c>
    </row>
    <row r="37">
      <c r="A37" s="308" t="inlineStr">
        <is>
          <t>2023-06</t>
        </is>
      </c>
      <c r="B37" s="308" t="n">
        <v>130.36</v>
      </c>
      <c r="C37" s="308" t="n">
        <v>427.0476200424</v>
      </c>
    </row>
    <row r="38">
      <c r="A38" s="308" t="inlineStr">
        <is>
          <t>2023-07</t>
        </is>
      </c>
      <c r="B38" s="308" t="n">
        <v>133.68</v>
      </c>
      <c r="C38" s="308" t="n">
        <v>441.0262813103</v>
      </c>
    </row>
    <row r="39">
      <c r="A39" s="308" t="inlineStr">
        <is>
          <t>2023-08</t>
        </is>
      </c>
      <c r="B39" s="308" t="n">
        <v>138.01</v>
      </c>
      <c r="C39" s="308" t="n">
        <v>433.8587251536</v>
      </c>
    </row>
    <row r="40">
      <c r="A40" s="308" t="inlineStr">
        <is>
          <t>2023-09</t>
        </is>
      </c>
      <c r="B40" s="308" t="n">
        <v>127.12</v>
      </c>
      <c r="C40" s="308" t="n">
        <v>413.2967305907</v>
      </c>
    </row>
    <row r="41">
      <c r="A41" s="308" t="inlineStr">
        <is>
          <t>2023-10</t>
        </is>
      </c>
      <c r="B41" s="308" t="n">
        <v>133.09</v>
      </c>
      <c r="C41" s="308" t="n">
        <v>404.3246297675</v>
      </c>
    </row>
    <row r="42">
      <c r="A42" s="308" t="inlineStr">
        <is>
          <t>2023-11</t>
        </is>
      </c>
      <c r="B42" s="308" t="n">
        <v>146.09</v>
      </c>
      <c r="C42" s="308" t="n">
        <v>441.2571999663</v>
      </c>
    </row>
    <row r="43">
      <c r="A43" s="308" t="inlineStr">
        <is>
          <t>2023-12</t>
        </is>
      </c>
      <c r="B43" s="308" t="n">
        <v>151.94</v>
      </c>
      <c r="C43" s="308" t="n">
        <v>461.4061014052</v>
      </c>
    </row>
    <row r="44">
      <c r="A44" s="308" t="inlineStr">
        <is>
          <t>2024-01</t>
        </is>
      </c>
      <c r="B44" s="308" t="n">
        <v>155.2</v>
      </c>
      <c r="C44" s="308" t="n">
        <v>468.7546616872</v>
      </c>
    </row>
    <row r="45">
      <c r="A45" s="308" t="inlineStr">
        <is>
          <t>2024-02</t>
        </is>
      </c>
      <c r="B45" s="308" t="n">
        <v>176.76</v>
      </c>
      <c r="C45" s="308" t="n">
        <v>493.2175043697</v>
      </c>
    </row>
    <row r="46">
      <c r="A46" s="308" t="inlineStr">
        <is>
          <t>2024-03</t>
        </is>
      </c>
      <c r="B46" s="308" t="n">
        <v>180.38</v>
      </c>
      <c r="C46" s="308" t="n">
        <v>509.3575022438</v>
      </c>
    </row>
    <row r="47">
      <c r="A47" s="308" t="inlineStr">
        <is>
          <t>2024-04</t>
        </is>
      </c>
      <c r="B47" s="308" t="n">
        <v>175</v>
      </c>
      <c r="C47" s="308" t="n">
        <v>488.8203853716</v>
      </c>
    </row>
    <row r="48">
      <c r="A48" s="308" t="inlineStr">
        <is>
          <t>2024-05</t>
        </is>
      </c>
      <c r="B48" s="308" t="n">
        <v>176.44</v>
      </c>
      <c r="C48" s="308" t="n">
        <v>513.5447759541</v>
      </c>
    </row>
    <row r="49">
      <c r="A49" s="308" t="inlineStr">
        <is>
          <t>2024-06</t>
        </is>
      </c>
      <c r="B49" s="308" t="n">
        <v>193.25</v>
      </c>
      <c r="C49" s="308" t="n">
        <v>531.6650443674999</v>
      </c>
    </row>
    <row r="50">
      <c r="A50" s="308" t="inlineStr">
        <is>
          <t>2024-07</t>
        </is>
      </c>
      <c r="B50" s="308" t="n">
        <v>186.98</v>
      </c>
      <c r="C50" s="308" t="n">
        <v>538.1030154865</v>
      </c>
    </row>
    <row r="51">
      <c r="A51" s="308" t="inlineStr">
        <is>
          <t>2024-08</t>
        </is>
      </c>
      <c r="B51" s="308" t="n">
        <v>178.5</v>
      </c>
      <c r="C51" s="308" t="n">
        <v>550.6761093107</v>
      </c>
    </row>
    <row r="52">
      <c r="A52" s="308" t="inlineStr">
        <is>
          <t>2024-09</t>
        </is>
      </c>
      <c r="B52" s="308" t="n">
        <v>186.33</v>
      </c>
      <c r="C52" s="308" t="n">
        <v>562.2453646183</v>
      </c>
    </row>
    <row r="53">
      <c r="A53" s="308" t="inlineStr">
        <is>
          <t>2024-10</t>
        </is>
      </c>
      <c r="B53" s="308" t="n">
        <v>186.4</v>
      </c>
      <c r="C53" s="308" t="n">
        <v>557.2281165235</v>
      </c>
    </row>
    <row r="54">
      <c r="A54" s="308" t="inlineStr">
        <is>
          <t>2024-11</t>
        </is>
      </c>
      <c r="B54" s="308" t="n">
        <v>207.89</v>
      </c>
      <c r="C54" s="308" t="n">
        <v>590.4575858386</v>
      </c>
    </row>
    <row r="55">
      <c r="A55" s="308" t="inlineStr">
        <is>
          <t>2024-12</t>
        </is>
      </c>
      <c r="B55" s="308" t="n">
        <v>219.39</v>
      </c>
      <c r="C55" s="308" t="n">
        <v>576.2277005713</v>
      </c>
    </row>
    <row r="56">
      <c r="A56" s="308" t="inlineStr">
        <is>
          <t>2025-01</t>
        </is>
      </c>
      <c r="B56" s="308" t="n">
        <v>237.68</v>
      </c>
      <c r="C56" s="308" t="n">
        <v>591.7031032586</v>
      </c>
    </row>
    <row r="57">
      <c r="A57" s="308" t="inlineStr">
        <is>
          <t>2025-02</t>
        </is>
      </c>
      <c r="B57" s="308" t="n">
        <v>212.28</v>
      </c>
      <c r="C57" s="308" t="n">
        <v>584.1915354993</v>
      </c>
    </row>
    <row r="58">
      <c r="A58" s="308" t="inlineStr">
        <is>
          <t>2025-03</t>
        </is>
      </c>
      <c r="B58" s="308" t="n">
        <v>190.26</v>
      </c>
      <c r="C58" s="308" t="n">
        <v>551.6398309809</v>
      </c>
    </row>
    <row r="59">
      <c r="A59" s="308" t="inlineStr">
        <is>
          <t>2025-04</t>
        </is>
      </c>
      <c r="B59" s="308" t="n">
        <v>184.42</v>
      </c>
      <c r="C59" s="308" t="n">
        <v>546.8570261752</v>
      </c>
    </row>
    <row r="60">
      <c r="A60" s="308" t="inlineStr">
        <is>
          <t>2025-05</t>
        </is>
      </c>
      <c r="B60" s="308" t="n">
        <v>205.01</v>
      </c>
      <c r="C60" s="308" t="n">
        <v>581.2241906037</v>
      </c>
    </row>
    <row r="61">
      <c r="A61" s="308" t="inlineStr">
        <is>
          <t>2025-06</t>
        </is>
      </c>
      <c r="B61" s="308" t="n">
        <v>219.39</v>
      </c>
      <c r="C61" s="308" t="n">
        <v>611.0954844284</v>
      </c>
    </row>
    <row r="62">
      <c r="A62" s="308" t="inlineStr">
        <is>
          <t>2025-07</t>
        </is>
      </c>
      <c r="B62" s="308" t="n">
        <v>234.11</v>
      </c>
      <c r="C62" s="308" t="n">
        <v>625.1699179372</v>
      </c>
    </row>
    <row r="63">
      <c r="A63" s="308" t="inlineStr">
        <is>
          <t>2025-08</t>
        </is>
      </c>
      <c r="B63" s="308" t="n">
        <v>229</v>
      </c>
      <c r="C63" s="308" t="n">
        <v>637.9981261317999</v>
      </c>
    </row>
    <row r="64">
      <c r="A64" s="308" t="inlineStr">
        <is>
          <t>2025-09</t>
        </is>
      </c>
      <c r="B64" s="308" t="n">
        <v>219.57</v>
      </c>
      <c r="C64" s="308" t="n">
        <v>660.7149899586</v>
      </c>
    </row>
    <row r="65">
      <c r="A65" s="308" t="inlineStr">
        <is>
          <t>2025-10</t>
        </is>
      </c>
      <c r="B65" s="308" t="n">
        <v>244.22</v>
      </c>
      <c r="C65" s="308" t="n">
        <v>676.4647183211</v>
      </c>
    </row>
    <row r="66">
      <c r="A66" s="308" t="inlineStr">
        <is>
          <t>2025-11</t>
        </is>
      </c>
      <c r="B66" s="308" t="n">
        <v>233.22</v>
      </c>
      <c r="C66" s="308" t="n">
        <v>677.7838076613</v>
      </c>
    </row>
    <row r="67">
      <c r="A67" s="308" t="inlineStr">
        <is>
          <t>2025-12</t>
        </is>
      </c>
      <c r="B67" s="308" t="n">
        <v>230.82</v>
      </c>
      <c r="C67" s="308" t="n">
        <v>678.3067456674</v>
      </c>
    </row>
    <row r="68">
      <c r="A68" s="308" t="inlineStr">
        <is>
          <t>2026-01</t>
        </is>
      </c>
      <c r="B68" s="308" t="n">
        <v>239.3</v>
      </c>
      <c r="C68" s="308" t="n">
        <v>688.3034942507001</v>
      </c>
    </row>
    <row r="69">
      <c r="A69" s="308" t="inlineStr">
        <is>
          <t>2026-02</t>
        </is>
      </c>
      <c r="B69" s="308" t="n">
        <v>210</v>
      </c>
      <c r="C69" s="308" t="n">
        <v>682.3551801683</v>
      </c>
    </row>
    <row r="70">
      <c r="A70" s="308" t="inlineStr">
        <is>
          <t>2026-03</t>
        </is>
      </c>
      <c r="B70" s="308" t="n">
        <v>208.27</v>
      </c>
      <c r="C70" s="308" t="n">
        <v>648.6864324889</v>
      </c>
    </row>
    <row r="71">
      <c r="A71" s="308" t="inlineStr">
        <is>
          <t>2026-04</t>
        </is>
      </c>
      <c r="B71" s="308" t="n">
        <v>265.06</v>
      </c>
      <c r="C71" s="308" t="n">
        <v>716.8327206883999</v>
      </c>
    </row>
    <row r="72">
      <c r="A72" s="308" t="inlineStr">
        <is>
          <t>2026-05</t>
        </is>
      </c>
      <c r="B72" s="308" t="n">
        <v>270.64</v>
      </c>
      <c r="C72" s="308" t="n">
        <v>754.5565587988</v>
      </c>
    </row>
    <row r="73">
      <c r="A73" s="308" t="inlineStr">
        <is>
          <t>2026-06</t>
        </is>
      </c>
      <c r="B73" s="308" t="n">
        <v>238.34</v>
      </c>
      <c r="C73" s="308" t="n">
        <v>746.77</v>
      </c>
    </row>
    <row r="74">
      <c r="A74" s="308" t="inlineStr">
        <is>
          <t>2026-07</t>
        </is>
      </c>
      <c r="B74" s="308" t="n">
        <v>271.58</v>
      </c>
      <c r="C74" s="308" t="n">
        <v>747.03</v>
      </c>
    </row>
    <row r="75">
      <c r="A75" s="308" t="inlineStr">
        <is>
          <t>2026-08</t>
        </is>
      </c>
      <c r="B75" s="308" t="n">
        <v>284.02</v>
      </c>
      <c r="C75" s="308" t="n">
        <v>757.67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3:L14"/>
  <sheetViews>
    <sheetView showGridLines="1" zoomScale="100" workbookViewId="0">
      <selection activeCell="A1" sqref="A1"/>
    </sheetView>
  </sheetViews>
  <sheetFormatPr baseColWidth="8" defaultRowHeight="15"/>
  <sheetData>
    <row r="3">
      <c r="A3" s="308" t="inlineStr">
        <is>
          <t>WACC(const)</t>
        </is>
      </c>
      <c r="H3" s="482">
        <f>IF(ISNUMBER(Market!$B$37),Market!$B$37,Valuation!$B$15)</f>
        <v/>
      </c>
      <c r="I3" s="482">
        <f>IF(ISNUMBER(Market!$B$37),Market!$B$37,Valuation!$B$15)</f>
        <v/>
      </c>
      <c r="J3" s="482">
        <f>IF(ISNUMBER(Market!$B$37),Market!$B$37,Valuation!$B$15)</f>
        <v/>
      </c>
      <c r="K3" s="482">
        <f>IF(ISNUMBER(Market!$B$37),Market!$B$37,Valuation!$B$15)</f>
        <v/>
      </c>
      <c r="L3" s="482">
        <f>IF(ISNUMBER(Market!$B$37),Market!$B$37,Valuation!$B$15)</f>
        <v/>
      </c>
    </row>
    <row r="5">
      <c r="C5" s="482">
        <f>AVERAGE(Metrics!$C$6:$L$6)</f>
        <v/>
      </c>
      <c r="D5" s="482">
        <f>AVERAGE(Metrics!$C$6:$L$6)</f>
        <v/>
      </c>
      <c r="E5" s="482">
        <f>AVERAGE(Metrics!$C$6:$L$6)</f>
        <v/>
      </c>
      <c r="F5" s="482">
        <f>AVERAGE(Metrics!$C$6:$L$6)</f>
        <v/>
      </c>
      <c r="G5" s="482">
        <f>AVERAGE(Metrics!$C$6:$L$6)</f>
        <v/>
      </c>
      <c r="H5" s="482">
        <f>AVERAGE(Metrics!$C$6:$L$6)</f>
        <v/>
      </c>
      <c r="I5" s="482">
        <f>AVERAGE(Metrics!$C$6:$L$6)</f>
        <v/>
      </c>
      <c r="J5" s="482">
        <f>AVERAGE(Metrics!$C$6:$L$6)</f>
        <v/>
      </c>
      <c r="K5" s="482">
        <f>AVERAGE(Metrics!$C$6:$L$6)</f>
        <v/>
      </c>
      <c r="L5" s="482">
        <f>AVERAGE(Metrics!$C$6:$L$6)</f>
        <v/>
      </c>
    </row>
    <row r="7">
      <c r="A7" s="308" t="inlineStr">
        <is>
          <t>Company</t>
        </is>
      </c>
      <c r="B7" s="308" t="inlineStr">
        <is>
          <t>P/E</t>
        </is>
      </c>
      <c r="C7" s="308" t="inlineStr">
        <is>
          <t>EV/EBITDA</t>
        </is>
      </c>
    </row>
    <row r="8">
      <c r="A8" s="308">
        <f>IFERROR(Data!$B$4,"Subject")</f>
        <v/>
      </c>
      <c r="B8" s="308">
        <f>IFERROR(Metrics!$L$95,NA())</f>
        <v/>
      </c>
      <c r="C8" s="308">
        <f>IFERROR(Metrics!$L$99,NA())</f>
        <v/>
      </c>
    </row>
    <row r="9">
      <c r="A9" s="308">
        <f>IFERROR(Peers!B$2,Peers!B$3)</f>
        <v/>
      </c>
      <c r="B9" s="308">
        <f>IFERROR(Peers!B$28,NA())</f>
        <v/>
      </c>
      <c r="C9" s="308">
        <f>IFERROR(Peers!B$27,NA())</f>
        <v/>
      </c>
    </row>
    <row r="10">
      <c r="A10" s="308">
        <f>IFERROR(Peers!C$2,Peers!C$3)</f>
        <v/>
      </c>
      <c r="B10" s="308">
        <f>IFERROR(Peers!C$28,NA())</f>
        <v/>
      </c>
      <c r="C10" s="308">
        <f>IFERROR(Peers!C$27,NA())</f>
        <v/>
      </c>
    </row>
    <row r="11">
      <c r="A11" s="308">
        <f>IFERROR(Peers!D$2,Peers!D$3)</f>
        <v/>
      </c>
      <c r="B11" s="308">
        <f>IFERROR(Peers!D$28,NA())</f>
        <v/>
      </c>
      <c r="C11" s="308">
        <f>IFERROR(Peers!D$27,NA())</f>
        <v/>
      </c>
    </row>
    <row r="12">
      <c r="A12" s="308">
        <f>IFERROR(Peers!E$2,Peers!E$3)</f>
        <v/>
      </c>
      <c r="B12" s="308">
        <f>IFERROR(Peers!E$28,NA())</f>
        <v/>
      </c>
      <c r="C12" s="308">
        <f>IFERROR(Peers!E$27,NA())</f>
        <v/>
      </c>
    </row>
    <row r="14">
      <c r="C14" s="483">
        <f>AVERAGE(Metrics!$C$181:$L$181)</f>
        <v/>
      </c>
      <c r="D14" s="483">
        <f>AVERAGE(Metrics!$C$181:$L$181)</f>
        <v/>
      </c>
      <c r="E14" s="483">
        <f>AVERAGE(Metrics!$C$181:$L$181)</f>
        <v/>
      </c>
      <c r="F14" s="483">
        <f>AVERAGE(Metrics!$C$181:$L$181)</f>
        <v/>
      </c>
      <c r="G14" s="483">
        <f>AVERAGE(Metrics!$C$181:$L$181)</f>
        <v/>
      </c>
      <c r="H14" s="483">
        <f>AVERAGE(Metrics!$C$181:$L$181)</f>
        <v/>
      </c>
      <c r="I14" s="483">
        <f>AVERAGE(Metrics!$C$181:$L$181)</f>
        <v/>
      </c>
      <c r="J14" s="483">
        <f>AVERAGE(Metrics!$C$181:$L$181)</f>
        <v/>
      </c>
      <c r="K14" s="483">
        <f>AVERAGE(Metrics!$C$181:$L$181)</f>
        <v/>
      </c>
      <c r="L14" s="483">
        <f>AVERAGE(Metrics!$C$181:$L$181)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2026-04-08T08:40:58Z</dcterms:created>
  <dcterms:modified xmlns:dcterms="http://purl.org/dc/terms/" xmlns:xsi="http://www.w3.org/2001/XMLSchema-instance" xsi:type="dcterms:W3CDTF">2026-09-24T11:42:41Z</dcterms:modified>
  <cp:lastModifiedBy>Francesco Laconi</cp:lastModifiedBy>
  <cp:revision>16</cp:revision>
</cp:coreProperties>
</file>